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5" activeTab="0"/>
  </bookViews>
  <sheets>
    <sheet name="Меню " sheetId="1" r:id="rId1"/>
    <sheet name="Накоп" sheetId="2" r:id="rId2"/>
  </sheets>
  <definedNames/>
  <calcPr fullCalcOnLoad="1"/>
</workbook>
</file>

<file path=xl/sharedStrings.xml><?xml version="1.0" encoding="utf-8"?>
<sst xmlns="http://schemas.openxmlformats.org/spreadsheetml/2006/main" count="686" uniqueCount="269">
  <si>
    <t>Пюре картофельное (№520-2004)</t>
  </si>
  <si>
    <t>сухари пшеничые</t>
  </si>
  <si>
    <t>капуста белокочанная свежая</t>
  </si>
  <si>
    <t>крупа манная</t>
  </si>
  <si>
    <t>Гречка вязкая (№510-2004)</t>
  </si>
  <si>
    <t>свекла до 01.01 - 20%</t>
  </si>
  <si>
    <t>соус томатный (587-2004)</t>
  </si>
  <si>
    <t xml:space="preserve">масло сливочное </t>
  </si>
  <si>
    <t>морковь до 01.01 - 20 %</t>
  </si>
  <si>
    <t>бульон или отвар</t>
  </si>
  <si>
    <t>Сложный гарнир</t>
  </si>
  <si>
    <t>Обед</t>
  </si>
  <si>
    <t>макаронные изделия</t>
  </si>
  <si>
    <t>Суп молочный с макаронными изделиями (№ 120-2005)</t>
  </si>
  <si>
    <t>соль йодированная</t>
  </si>
  <si>
    <t>соль</t>
  </si>
  <si>
    <t>250/20</t>
  </si>
  <si>
    <t>картофель 01.09 - 31.10 - 25%</t>
  </si>
  <si>
    <t>01.01. - 29.02 - 35%</t>
  </si>
  <si>
    <t>Щи из свежей капусты с картофелем с мясом со сметаной (№88-2005)</t>
  </si>
  <si>
    <t>картофель - 01.09 - 31.10 - 25%</t>
  </si>
  <si>
    <t>01.03 - 40%</t>
  </si>
  <si>
    <t>горбуша потрошенная с головой (филе без кожи и костей)</t>
  </si>
  <si>
    <t>Плов из мяса птицы (№291 - 2005)</t>
  </si>
  <si>
    <t>Рыба запеченная (№230-2005)</t>
  </si>
  <si>
    <t>горбуша потрошенная с головой (филе с кожей без костей)</t>
  </si>
  <si>
    <t>масса омлета</t>
  </si>
  <si>
    <t>Овощи на подгарнировку</t>
  </si>
  <si>
    <t>Суп "Свекольник с мясом со сметаной" (№ 34-2004, Пермь)</t>
  </si>
  <si>
    <t>01.11 - 31.02 - 30%</t>
  </si>
  <si>
    <t>"Уха рыбацкая" (№181-1996, Пермь)</t>
  </si>
  <si>
    <t xml:space="preserve">лук репчатый </t>
  </si>
  <si>
    <t>Суп рыбный (№142-2004)</t>
  </si>
  <si>
    <t>Суп картофельный с мясными фрикадельками (№104-2005)</t>
  </si>
  <si>
    <t>250/35</t>
  </si>
  <si>
    <t>полуфабрикат мелкокусковой из говядины</t>
  </si>
  <si>
    <t xml:space="preserve"> хлопья "5 злаков"</t>
  </si>
  <si>
    <t>котлета рыбная полуфабрикат</t>
  </si>
  <si>
    <t>Омлет натуральный с овощами  на подгарнировку (№ 340-2004)</t>
  </si>
  <si>
    <t>сыр "Голландский"</t>
  </si>
  <si>
    <t>капуста белокочанная</t>
  </si>
  <si>
    <t>200/10</t>
  </si>
  <si>
    <t>30/10/15</t>
  </si>
  <si>
    <t>Бутерброд с маслом  (№ 2-2005)</t>
  </si>
  <si>
    <t>30/10</t>
  </si>
  <si>
    <t>или сыр "Голландский"</t>
  </si>
  <si>
    <t>Бутерброд с сыром (№3-2005)</t>
  </si>
  <si>
    <t>30/20</t>
  </si>
  <si>
    <t xml:space="preserve">Напиток из цикория (№379 - 2005) </t>
  </si>
  <si>
    <t>напиток цикорий</t>
  </si>
  <si>
    <t>Йогурт молочный 2,5% жирности</t>
  </si>
  <si>
    <t xml:space="preserve">йогурт 2,5 % жирности  </t>
  </si>
  <si>
    <t>Завтрак</t>
  </si>
  <si>
    <t>Хлеб ржаной</t>
  </si>
  <si>
    <t>вода питьевая</t>
  </si>
  <si>
    <t>лук репчатый</t>
  </si>
  <si>
    <t>мука пшеничная</t>
  </si>
  <si>
    <t>масло растительное</t>
  </si>
  <si>
    <t>масло сливочное</t>
  </si>
  <si>
    <t>с 01.01. - 25%</t>
  </si>
  <si>
    <t>морковь до 01.01. - 20%</t>
  </si>
  <si>
    <t>крупа гречневая</t>
  </si>
  <si>
    <t>сахар-песок</t>
  </si>
  <si>
    <t>Наименование блюда</t>
  </si>
  <si>
    <t>Брутто, г</t>
  </si>
  <si>
    <t>Нетто, г</t>
  </si>
  <si>
    <t>Белки, г</t>
  </si>
  <si>
    <t>Жиры, г</t>
  </si>
  <si>
    <t>Угл, г</t>
  </si>
  <si>
    <t>ЭЦ, ккал</t>
  </si>
  <si>
    <t>Цена, р</t>
  </si>
  <si>
    <t>Сумма, р</t>
  </si>
  <si>
    <t>Витамины</t>
  </si>
  <si>
    <t>Минералы</t>
  </si>
  <si>
    <t>С, мг</t>
  </si>
  <si>
    <t>В1, мг</t>
  </si>
  <si>
    <t>А, мкг</t>
  </si>
  <si>
    <t>Е, мкг</t>
  </si>
  <si>
    <t>Кальций</t>
  </si>
  <si>
    <t>Фосфор</t>
  </si>
  <si>
    <t>Магний</t>
  </si>
  <si>
    <t>Железо</t>
  </si>
  <si>
    <t>картофель - 01.09.- 31.10. - 25%</t>
  </si>
  <si>
    <t>01.11. - 31.12. - 30%</t>
  </si>
  <si>
    <t>01.01. - 29.02.- 35%</t>
  </si>
  <si>
    <t>01.03. - 40%</t>
  </si>
  <si>
    <t>молоко питьевое</t>
  </si>
  <si>
    <t>курага</t>
  </si>
  <si>
    <t>творог</t>
  </si>
  <si>
    <t>яйцо куриное</t>
  </si>
  <si>
    <t>сметана</t>
  </si>
  <si>
    <t>200/5</t>
  </si>
  <si>
    <t>какао-порошок</t>
  </si>
  <si>
    <t>чай-заварка</t>
  </si>
  <si>
    <t>лимон</t>
  </si>
  <si>
    <t>крупа рисовая</t>
  </si>
  <si>
    <t>с01.01. - 25%</t>
  </si>
  <si>
    <t>соль иодированная</t>
  </si>
  <si>
    <t>масса готовой запеканки</t>
  </si>
  <si>
    <t>плоды шиповника сушеные</t>
  </si>
  <si>
    <t xml:space="preserve">макаронные изделия </t>
  </si>
  <si>
    <t>Овощное рагу (№ 224 - 2004)</t>
  </si>
  <si>
    <t>01.01. - 29.02. -35%</t>
  </si>
  <si>
    <t xml:space="preserve">капуста белокочанная </t>
  </si>
  <si>
    <t>с 01.01 - 25%</t>
  </si>
  <si>
    <t>соус томатный (№587-2004)</t>
  </si>
  <si>
    <t>вода питьевая или бульон</t>
  </si>
  <si>
    <t>кофейный напиток</t>
  </si>
  <si>
    <t>Чай с сахаром (№685-2004)</t>
  </si>
  <si>
    <t>крупа пшенная</t>
  </si>
  <si>
    <t>сухофрукты</t>
  </si>
  <si>
    <t>аскорбиновая кислота</t>
  </si>
  <si>
    <t>яблоки свежие</t>
  </si>
  <si>
    <t>свекла до 01.01. - 20%</t>
  </si>
  <si>
    <t>Фрукт яблоко (или груша, или банан, или апельсин, или мандарин) посчитана средняя пищевая ценность яблок</t>
  </si>
  <si>
    <t>Каша "Дружба" с маслом (№93-2001)</t>
  </si>
  <si>
    <t>кислота аскорбиновая</t>
  </si>
  <si>
    <t>Соус сметанно-томатный (№331-2005)</t>
  </si>
  <si>
    <t>Сыр порционный (№15-2005)</t>
  </si>
  <si>
    <t>Чай с лимоном (№686-2004)</t>
  </si>
  <si>
    <t xml:space="preserve">Кофейный напиток (№379 - 2005) </t>
  </si>
  <si>
    <t>Компот из кураги + Витамин С (№638-2004)</t>
  </si>
  <si>
    <t>Капуста тушеная (№534-2004)</t>
  </si>
  <si>
    <t>или филе куриное замороженное</t>
  </si>
  <si>
    <t>котлеты п/ф</t>
  </si>
  <si>
    <t>Какао с молоком (№382-2005)</t>
  </si>
  <si>
    <t xml:space="preserve"> </t>
  </si>
  <si>
    <t>Рассольник ленинградский с мясом со сметаной (№132-2004)</t>
  </si>
  <si>
    <t>250/10/5</t>
  </si>
  <si>
    <t>картофель 01.09- - 30.10 - 25%</t>
  </si>
  <si>
    <t>01.11 - 31.12 - 30%</t>
  </si>
  <si>
    <t>01.01 - 29.02 - 35%</t>
  </si>
  <si>
    <t>с 01.03 - 40%</t>
  </si>
  <si>
    <t>морковь до 01.01 - 20%</t>
  </si>
  <si>
    <t>огурцы консервированные без уксуса</t>
  </si>
  <si>
    <t>бульон или вода</t>
  </si>
  <si>
    <t>250/20/10</t>
  </si>
  <si>
    <t xml:space="preserve">хлеб пшеничный  </t>
  </si>
  <si>
    <t>Борщ из свежей капусты с картофелем с мясом со сметаной (№82-2005)</t>
  </si>
  <si>
    <t>крупа ячневая</t>
  </si>
  <si>
    <t>Каша вязкая ячневая (№174-2005)</t>
  </si>
  <si>
    <t>Мясо тушеное с капустой (Бигус) (№ 440-2004)</t>
  </si>
  <si>
    <t>крупа пшеничная</t>
  </si>
  <si>
    <t>250/50</t>
  </si>
  <si>
    <t>250/20/5</t>
  </si>
  <si>
    <t>Отвар из плодов шиповника +Витамин С (№705 - 2004)</t>
  </si>
  <si>
    <t>Суп картофельный с макаронными изделиями с курицей (№103-2005)</t>
  </si>
  <si>
    <t>крупа горох</t>
  </si>
  <si>
    <t>Макаронные изделия отварные с сыром  (№204-2005)</t>
  </si>
  <si>
    <t>180/15</t>
  </si>
  <si>
    <t>Поджарка (№251-2005)</t>
  </si>
  <si>
    <t>Бутерброд с маслом и сыром (№3-2005)</t>
  </si>
  <si>
    <t>Макаронные изделия отварные с овощами  (№205-2005)</t>
  </si>
  <si>
    <t>Фактически получено г, мл</t>
  </si>
  <si>
    <t>№</t>
  </si>
  <si>
    <t>Продукты</t>
  </si>
  <si>
    <t>Среднесуточная норма продуктов в г. на одного обучающегося СанПин 2.3/2.4.3590-20</t>
  </si>
  <si>
    <t>Дни</t>
  </si>
  <si>
    <t>за 10 дней, г.</t>
  </si>
  <si>
    <t>факт в день</t>
  </si>
  <si>
    <t>% выполнения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</si>
  <si>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</si>
  <si>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</si>
  <si>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</si>
  <si>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</si>
  <si>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</si>
  <si>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</si>
  <si>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</si>
  <si>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</si>
  <si>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</si>
  <si>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</si>
  <si>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>Мясо жилованное (мясо на кости) 1 кат.</t>
  </si>
  <si>
    <t>Цыплята 1 категории потрошенные (куры 1 кат п/п)</t>
  </si>
  <si>
    <t>Рыба-филе</t>
  </si>
  <si>
    <t>Субпродукты (печень, язык. сердце)</t>
  </si>
  <si>
    <t>Молоко (массовая доля жира 2,5%,3,2%)</t>
  </si>
  <si>
    <t>Кисломолочные продукты (массовая доля жира 2,5%, 3,2%)</t>
  </si>
  <si>
    <t>Творог (массовая доля жира не более 9%)</t>
  </si>
  <si>
    <t>Сыр</t>
  </si>
  <si>
    <t>Сметана (массовая доля жира не более 15%)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</si>
  <si>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</si>
  <si>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</si>
  <si>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</si>
  <si>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</si>
  <si>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</si>
  <si>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</si>
  <si>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Какао-порошок</t>
  </si>
  <si>
    <t>Кофейный напиток</t>
  </si>
  <si>
    <t>Крахмал</t>
  </si>
  <si>
    <t>Специи</t>
  </si>
  <si>
    <t>Дрожжи хлебопекарные</t>
  </si>
  <si>
    <t>Соль</t>
  </si>
  <si>
    <t>Прием пищи</t>
  </si>
  <si>
    <t>Пищевые вещества</t>
  </si>
  <si>
    <t>Вес блюда</t>
  </si>
  <si>
    <t>Неделя 1</t>
  </si>
  <si>
    <t>День 1</t>
  </si>
  <si>
    <t>Итого за завтрак</t>
  </si>
  <si>
    <t>Итого за обед</t>
  </si>
  <si>
    <t>Итого за день</t>
  </si>
  <si>
    <t>2055</t>
  </si>
  <si>
    <t>День 2</t>
  </si>
  <si>
    <t>545</t>
  </si>
  <si>
    <t>1415</t>
  </si>
  <si>
    <t>День 3</t>
  </si>
  <si>
    <t>600</t>
  </si>
  <si>
    <t>День 4</t>
  </si>
  <si>
    <t>1555</t>
  </si>
  <si>
    <t>День 5</t>
  </si>
  <si>
    <t>610</t>
  </si>
  <si>
    <t>День 6</t>
  </si>
  <si>
    <t>585</t>
  </si>
  <si>
    <t>День 7</t>
  </si>
  <si>
    <t>590</t>
  </si>
  <si>
    <t>День 8</t>
  </si>
  <si>
    <t>615</t>
  </si>
  <si>
    <t>День 9</t>
  </si>
  <si>
    <t>День 10</t>
  </si>
  <si>
    <t>Среднее значение за период</t>
  </si>
  <si>
    <t>1947</t>
  </si>
  <si>
    <t>Норма, г,мл,  в день 60-65%</t>
  </si>
  <si>
    <t>горошек консервированный</t>
  </si>
  <si>
    <t>Кофейный напиток (№379-2005)</t>
  </si>
  <si>
    <t>огурцы консервированные</t>
  </si>
  <si>
    <t>Рис припущенный (№305-2005)</t>
  </si>
  <si>
    <t>изюм</t>
  </si>
  <si>
    <t>вода</t>
  </si>
  <si>
    <t xml:space="preserve">        </t>
  </si>
  <si>
    <t>Щи из свежей капусты с картофелем с курой  со сметаной (№88-2005)</t>
  </si>
  <si>
    <t>630</t>
  </si>
  <si>
    <t>250/40</t>
  </si>
  <si>
    <t>масло растительное (для смазки листа)</t>
  </si>
  <si>
    <t>Суп гороховый с гренками с мясом   (№ 139-2004)</t>
  </si>
  <si>
    <t>Кура, запеченная по-домашнему (№494-2004)</t>
  </si>
  <si>
    <t>чеснок свежий</t>
  </si>
  <si>
    <t>Накопительная ведомость к меню горячего питания для учащихся с ограниченными возможностями здоровья с 12 лет и старше</t>
  </si>
  <si>
    <t>ХЕ</t>
  </si>
  <si>
    <t>хлеб ржаной</t>
  </si>
  <si>
    <t>Горошек консервированный (№ 10-2014)</t>
  </si>
  <si>
    <t>Пудинг из творога (№222-2005)</t>
  </si>
  <si>
    <t>Огурцы консервированные (без уксуса)       (№ 70-2005)</t>
  </si>
  <si>
    <t>Запеканка из творога (№ 223-2005)</t>
  </si>
  <si>
    <t>50/130</t>
  </si>
  <si>
    <t>*Увеличено количество яиц, уменьшено количество сахара, белый хлеб заменен на ржаной</t>
  </si>
  <si>
    <t>Примерное 10-ти дневное меню горячего питания для учащихся с сахарным диабетом с 12 лет и старше (осенне-зимний сезон) С расчетом содержания пищевой и энергетической ценности (белков, жиров, углеводов, калорийности, хлебных единиц, минеральных веществ и витаминов)                                                                                                                                                                             Меню содержит обязательные вложения - титульный лист, накопительную ведомость, аннотацию.</t>
  </si>
  <si>
    <t>крупа перловая</t>
  </si>
  <si>
    <t>Кукуруза консервированная (после термической обработки)</t>
  </si>
  <si>
    <t>консервы рыбные в собственном соку</t>
  </si>
  <si>
    <t>Гуляш  (№437-2004)</t>
  </si>
  <si>
    <t>гуляш - полуфабрикат промышленного производства</t>
  </si>
  <si>
    <t>томатная паста</t>
  </si>
  <si>
    <t>филе куриное замороженное</t>
  </si>
  <si>
    <t>Компот из изюма + ВитаминС (№349-2005)</t>
  </si>
  <si>
    <t>Каша жидкая из хлопьев "5 злаков" (№311-2004)</t>
  </si>
  <si>
    <t>котлеты по-домашнему п/ф с соусом томатным</t>
  </si>
  <si>
    <t>Компот из сухофруктов +Витамин С  (№638-2004)</t>
  </si>
  <si>
    <t xml:space="preserve">Горошек консервированный </t>
  </si>
  <si>
    <t>Биточки рубленные из птицы п/ф, припущенные с маслом</t>
  </si>
  <si>
    <t>Биточки рубленые из птицы п/ф</t>
  </si>
  <si>
    <t>Компот из свежих яблок  + Витамин С (№585-1996)</t>
  </si>
  <si>
    <t xml:space="preserve"> огурцы консервированные без уксуса</t>
  </si>
  <si>
    <t>огурцы консервированные (без уксуса) (№ 70-2005)</t>
  </si>
  <si>
    <t>Полуфабрикат мелкокусковой из говядины</t>
  </si>
  <si>
    <t xml:space="preserve">томатная паста </t>
  </si>
  <si>
    <t>Котлеты из рыбы п/ф с маслом</t>
  </si>
  <si>
    <t>фрикадельки п/ф</t>
  </si>
  <si>
    <t>фрикадельки (п/ф)</t>
  </si>
  <si>
    <t>Каша жидкая пшеничная с маслом (№182-2005)</t>
  </si>
  <si>
    <t>Чай  (№685-2004)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</si>
</sst>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2" fontId="6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7" fillId="0" borderId="12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wrapText="1"/>
    </xf>
    <xf numFmtId="2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right" wrapText="1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172" fontId="7" fillId="0" borderId="10" xfId="0" applyNumberFormat="1" applyFont="1" applyBorder="1" applyAlignment="1">
      <alignment vertical="center"/>
    </xf>
    <xf numFmtId="0" fontId="7" fillId="0" borderId="20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0" xfId="0" applyNumberFormat="1" applyFont="1" applyAlignment="1">
      <alignment/>
    </xf>
    <xf numFmtId="0" fontId="7" fillId="0" borderId="21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21" xfId="0" applyFont="1" applyFill="1" applyBorder="1" applyAlignment="1">
      <alignment/>
    </xf>
    <xf numFmtId="0" fontId="6" fillId="32" borderId="12" xfId="0" applyFont="1" applyFill="1" applyBorder="1" applyAlignment="1">
      <alignment horizontal="center" wrapText="1"/>
    </xf>
    <xf numFmtId="0" fontId="6" fillId="32" borderId="20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6" fillId="13" borderId="16" xfId="0" applyFont="1" applyFill="1" applyBorder="1" applyAlignment="1">
      <alignment horizontal="center"/>
    </xf>
    <xf numFmtId="0" fontId="7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center"/>
    </xf>
    <xf numFmtId="0" fontId="6" fillId="13" borderId="15" xfId="0" applyFont="1" applyFill="1" applyBorder="1" applyAlignment="1">
      <alignment/>
    </xf>
    <xf numFmtId="0" fontId="6" fillId="13" borderId="18" xfId="0" applyFont="1" applyFill="1" applyBorder="1" applyAlignment="1">
      <alignment/>
    </xf>
    <xf numFmtId="0" fontId="6" fillId="12" borderId="13" xfId="0" applyFont="1" applyFill="1" applyBorder="1" applyAlignment="1">
      <alignment horizontal="center"/>
    </xf>
    <xf numFmtId="0" fontId="7" fillId="12" borderId="10" xfId="0" applyFont="1" applyFill="1" applyBorder="1" applyAlignment="1">
      <alignment/>
    </xf>
    <xf numFmtId="0" fontId="6" fillId="12" borderId="1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5" xfId="0" applyFont="1" applyFill="1" applyBorder="1" applyAlignment="1">
      <alignment/>
    </xf>
    <xf numFmtId="0" fontId="6" fillId="12" borderId="18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9" borderId="20" xfId="0" applyFont="1" applyFill="1" applyBorder="1" applyAlignment="1">
      <alignment horizontal="center" wrapText="1"/>
    </xf>
    <xf numFmtId="49" fontId="6" fillId="9" borderId="12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172" fontId="6" fillId="9" borderId="12" xfId="0" applyNumberFormat="1" applyFont="1" applyFill="1" applyBorder="1" applyAlignment="1">
      <alignment horizontal="center"/>
    </xf>
    <xf numFmtId="1" fontId="6" fillId="9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/>
    </xf>
    <xf numFmtId="0" fontId="6" fillId="35" borderId="13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right" wrapText="1"/>
    </xf>
    <xf numFmtId="172" fontId="7" fillId="0" borderId="14" xfId="0" applyNumberFormat="1" applyFont="1" applyBorder="1" applyAlignment="1">
      <alignment/>
    </xf>
    <xf numFmtId="0" fontId="6" fillId="32" borderId="1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32" borderId="14" xfId="0" applyFont="1" applyFill="1" applyBorder="1" applyAlignment="1">
      <alignment wrapText="1"/>
    </xf>
    <xf numFmtId="0" fontId="6" fillId="32" borderId="18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13" borderId="13" xfId="0" applyFont="1" applyFill="1" applyBorder="1" applyAlignment="1">
      <alignment/>
    </xf>
    <xf numFmtId="0" fontId="6" fillId="13" borderId="13" xfId="0" applyFont="1" applyFill="1" applyBorder="1" applyAlignment="1">
      <alignment/>
    </xf>
    <xf numFmtId="0" fontId="6" fillId="12" borderId="13" xfId="0" applyFont="1" applyFill="1" applyBorder="1" applyAlignment="1">
      <alignment/>
    </xf>
    <xf numFmtId="0" fontId="6" fillId="12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2" fontId="6" fillId="36" borderId="17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9" borderId="10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2" fontId="6" fillId="0" borderId="16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6" fontId="7" fillId="0" borderId="12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0" fontId="6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72" fontId="6" fillId="0" borderId="14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horizontal="right"/>
    </xf>
    <xf numFmtId="0" fontId="6" fillId="13" borderId="18" xfId="0" applyFont="1" applyFill="1" applyBorder="1" applyAlignment="1">
      <alignment/>
    </xf>
    <xf numFmtId="0" fontId="6" fillId="12" borderId="18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28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/>
    </xf>
    <xf numFmtId="2" fontId="6" fillId="9" borderId="12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6" fillId="35" borderId="10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574"/>
  <sheetViews>
    <sheetView tabSelected="1" zoomScalePageLayoutView="0" workbookViewId="0" topLeftCell="A359">
      <selection activeCell="V438" sqref="V438"/>
    </sheetView>
  </sheetViews>
  <sheetFormatPr defaultColWidth="9.140625" defaultRowHeight="15"/>
  <cols>
    <col min="1" max="1" width="13.8515625" style="331" customWidth="1"/>
    <col min="2" max="2" width="48.140625" style="331" customWidth="1"/>
    <col min="3" max="3" width="7.8515625" style="331" customWidth="1"/>
    <col min="4" max="4" width="10.421875" style="331" bestFit="1" customWidth="1"/>
    <col min="5" max="5" width="9.421875" style="331" bestFit="1" customWidth="1"/>
    <col min="6" max="7" width="9.7109375" style="331" bestFit="1" customWidth="1"/>
    <col min="8" max="8" width="8.421875" style="331" bestFit="1" customWidth="1"/>
    <col min="9" max="9" width="13.421875" style="331" bestFit="1" customWidth="1"/>
    <col min="10" max="10" width="7.00390625" style="331" customWidth="1"/>
    <col min="11" max="11" width="5.7109375" style="331" hidden="1" customWidth="1"/>
    <col min="12" max="12" width="6.140625" style="331" hidden="1" customWidth="1"/>
    <col min="13" max="13" width="5.421875" style="331" hidden="1" customWidth="1"/>
    <col min="14" max="14" width="6.140625" style="331" hidden="1" customWidth="1"/>
    <col min="15" max="15" width="5.7109375" style="331" hidden="1" customWidth="1"/>
    <col min="16" max="16" width="5.8515625" style="331" hidden="1" customWidth="1"/>
    <col min="17" max="17" width="6.140625" style="331" hidden="1" customWidth="1"/>
    <col min="18" max="18" width="6.7109375" style="332" hidden="1" customWidth="1"/>
    <col min="19" max="19" width="5.7109375" style="331" hidden="1" customWidth="1"/>
    <col min="20" max="20" width="6.28125" style="331" hidden="1" customWidth="1"/>
    <col min="22" max="22" width="13.421875" style="0" bestFit="1" customWidth="1"/>
  </cols>
  <sheetData>
    <row r="1" spans="1:20" s="5" customFormat="1" ht="15.75">
      <c r="A1" s="174"/>
      <c r="B1" s="376" t="s">
        <v>244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00"/>
      <c r="T1" s="300"/>
    </row>
    <row r="2" spans="1:21" s="6" customFormat="1" ht="15.75" customHeight="1">
      <c r="A2" s="377" t="s">
        <v>192</v>
      </c>
      <c r="B2" s="379" t="s">
        <v>63</v>
      </c>
      <c r="C2" s="245"/>
      <c r="D2" s="246"/>
      <c r="E2" s="247"/>
      <c r="F2" s="381" t="s">
        <v>193</v>
      </c>
      <c r="G2" s="382"/>
      <c r="H2" s="383"/>
      <c r="I2" s="384" t="s">
        <v>69</v>
      </c>
      <c r="J2" s="384" t="s">
        <v>236</v>
      </c>
      <c r="K2" s="301"/>
      <c r="L2" s="301"/>
      <c r="M2" s="245" t="s">
        <v>72</v>
      </c>
      <c r="N2" s="297"/>
      <c r="O2" s="297"/>
      <c r="P2" s="297"/>
      <c r="Q2" s="297" t="s">
        <v>73</v>
      </c>
      <c r="R2" s="297"/>
      <c r="S2" s="297"/>
      <c r="T2" s="247"/>
      <c r="U2" s="244"/>
    </row>
    <row r="3" spans="1:21" s="6" customFormat="1" ht="32.25">
      <c r="A3" s="378"/>
      <c r="B3" s="380"/>
      <c r="C3" s="248" t="s">
        <v>194</v>
      </c>
      <c r="D3" s="438" t="s">
        <v>64</v>
      </c>
      <c r="E3" s="438" t="s">
        <v>65</v>
      </c>
      <c r="F3" s="288" t="s">
        <v>66</v>
      </c>
      <c r="G3" s="288" t="s">
        <v>67</v>
      </c>
      <c r="H3" s="250" t="s">
        <v>68</v>
      </c>
      <c r="I3" s="385"/>
      <c r="J3" s="385"/>
      <c r="K3" s="249" t="s">
        <v>70</v>
      </c>
      <c r="L3" s="249" t="s">
        <v>71</v>
      </c>
      <c r="M3" s="250" t="s">
        <v>74</v>
      </c>
      <c r="N3" s="250" t="s">
        <v>75</v>
      </c>
      <c r="O3" s="250" t="s">
        <v>76</v>
      </c>
      <c r="P3" s="250" t="s">
        <v>77</v>
      </c>
      <c r="Q3" s="250" t="s">
        <v>78</v>
      </c>
      <c r="R3" s="250" t="s">
        <v>79</v>
      </c>
      <c r="S3" s="250" t="s">
        <v>80</v>
      </c>
      <c r="T3" s="250" t="s">
        <v>81</v>
      </c>
      <c r="U3" s="251"/>
    </row>
    <row r="4" spans="1:21" s="6" customFormat="1" ht="18.75">
      <c r="A4" s="252" t="s">
        <v>195</v>
      </c>
      <c r="B4" s="253"/>
      <c r="C4" s="254"/>
      <c r="D4" s="255"/>
      <c r="E4" s="254"/>
      <c r="F4" s="256"/>
      <c r="G4" s="257"/>
      <c r="H4" s="257"/>
      <c r="I4" s="257"/>
      <c r="J4" s="257"/>
      <c r="K4" s="257"/>
      <c r="L4" s="373"/>
      <c r="M4" s="304"/>
      <c r="N4" s="304"/>
      <c r="O4" s="304"/>
      <c r="P4" s="304"/>
      <c r="Q4" s="304"/>
      <c r="R4" s="304"/>
      <c r="S4" s="304"/>
      <c r="T4" s="305"/>
      <c r="U4" s="251"/>
    </row>
    <row r="5" spans="1:21" s="6" customFormat="1" ht="18.75">
      <c r="A5" s="258" t="s">
        <v>196</v>
      </c>
      <c r="B5" s="259"/>
      <c r="C5" s="260"/>
      <c r="D5" s="261"/>
      <c r="E5" s="258"/>
      <c r="F5" s="262"/>
      <c r="G5" s="263"/>
      <c r="H5" s="263"/>
      <c r="I5" s="263"/>
      <c r="J5" s="263"/>
      <c r="K5" s="263"/>
      <c r="L5" s="374"/>
      <c r="M5" s="306"/>
      <c r="N5" s="306"/>
      <c r="O5" s="306"/>
      <c r="P5" s="306"/>
      <c r="Q5" s="306"/>
      <c r="R5" s="306"/>
      <c r="S5" s="306"/>
      <c r="T5" s="307"/>
      <c r="U5" s="251"/>
    </row>
    <row r="6" spans="1:21" s="10" customFormat="1" ht="18.75">
      <c r="A6" s="264" t="s">
        <v>52</v>
      </c>
      <c r="B6" s="308"/>
      <c r="C6" s="264"/>
      <c r="D6" s="265"/>
      <c r="E6" s="266"/>
      <c r="F6" s="267"/>
      <c r="G6" s="267"/>
      <c r="H6" s="267"/>
      <c r="I6" s="267"/>
      <c r="J6" s="267"/>
      <c r="K6" s="309"/>
      <c r="L6" s="309" t="e">
        <f>SUM(L14+L13+L12+L8+#REF!+#REF!)</f>
        <v>#REF!</v>
      </c>
      <c r="M6" s="309"/>
      <c r="N6" s="309"/>
      <c r="O6" s="309"/>
      <c r="P6" s="309"/>
      <c r="Q6" s="309"/>
      <c r="R6" s="309"/>
      <c r="S6" s="309"/>
      <c r="T6" s="309"/>
      <c r="U6" s="268"/>
    </row>
    <row r="7" spans="2:22" s="43" customFormat="1" ht="15.75">
      <c r="B7" s="134" t="s">
        <v>43</v>
      </c>
      <c r="C7" s="72" t="s">
        <v>44</v>
      </c>
      <c r="D7" s="42"/>
      <c r="E7" s="66"/>
      <c r="F7" s="67">
        <v>3.2</v>
      </c>
      <c r="G7" s="68">
        <v>6.5</v>
      </c>
      <c r="H7" s="94">
        <v>9.3</v>
      </c>
      <c r="I7" s="104">
        <v>136</v>
      </c>
      <c r="J7" s="94">
        <v>0.9</v>
      </c>
      <c r="K7" s="68"/>
      <c r="L7" s="68"/>
      <c r="M7" s="68">
        <v>0</v>
      </c>
      <c r="N7" s="68">
        <v>0.03</v>
      </c>
      <c r="O7" s="104">
        <v>40</v>
      </c>
      <c r="P7" s="68">
        <v>0.44</v>
      </c>
      <c r="Q7" s="94">
        <v>8.4</v>
      </c>
      <c r="R7" s="104">
        <v>22.5</v>
      </c>
      <c r="S7" s="68">
        <v>4.2</v>
      </c>
      <c r="T7" s="68">
        <v>0.35</v>
      </c>
      <c r="U7" s="68"/>
      <c r="V7" s="352">
        <f>SUM(V8:V9)</f>
        <v>8.0333</v>
      </c>
    </row>
    <row r="8" spans="1:22" s="12" customFormat="1" ht="15.75">
      <c r="A8" s="75"/>
      <c r="B8" s="143" t="s">
        <v>53</v>
      </c>
      <c r="C8" s="89"/>
      <c r="D8" s="90">
        <v>30</v>
      </c>
      <c r="E8" s="91">
        <v>30</v>
      </c>
      <c r="F8" s="156"/>
      <c r="G8" s="310"/>
      <c r="H8" s="310"/>
      <c r="I8" s="310"/>
      <c r="J8" s="310"/>
      <c r="K8" s="310"/>
      <c r="L8" s="310"/>
      <c r="M8" s="310"/>
      <c r="N8" s="310"/>
      <c r="O8" s="311"/>
      <c r="P8" s="310"/>
      <c r="Q8" s="312"/>
      <c r="R8" s="311"/>
      <c r="S8" s="310"/>
      <c r="T8" s="310"/>
      <c r="U8" s="410">
        <v>50.08</v>
      </c>
      <c r="V8" s="411">
        <f>D8*U8/1000</f>
        <v>1.5024</v>
      </c>
    </row>
    <row r="9" spans="1:22" s="12" customFormat="1" ht="15.75">
      <c r="A9" s="75"/>
      <c r="B9" s="188" t="s">
        <v>58</v>
      </c>
      <c r="C9" s="89"/>
      <c r="D9" s="90">
        <v>10</v>
      </c>
      <c r="E9" s="91">
        <v>10</v>
      </c>
      <c r="F9" s="156"/>
      <c r="G9" s="310"/>
      <c r="H9" s="310"/>
      <c r="I9" s="310"/>
      <c r="J9" s="310"/>
      <c r="K9" s="312"/>
      <c r="L9" s="310"/>
      <c r="M9" s="310"/>
      <c r="N9" s="310"/>
      <c r="O9" s="311"/>
      <c r="P9" s="310"/>
      <c r="Q9" s="312"/>
      <c r="R9" s="311"/>
      <c r="S9" s="310"/>
      <c r="T9" s="310"/>
      <c r="U9" s="410">
        <v>653.09</v>
      </c>
      <c r="V9" s="411">
        <f>D9*U9/1000</f>
        <v>6.530900000000001</v>
      </c>
    </row>
    <row r="10" spans="2:22" s="43" customFormat="1" ht="15.75">
      <c r="B10" s="134" t="s">
        <v>140</v>
      </c>
      <c r="C10" s="65" t="s">
        <v>91</v>
      </c>
      <c r="D10" s="42"/>
      <c r="E10" s="66"/>
      <c r="F10" s="67">
        <v>12.27</v>
      </c>
      <c r="G10" s="68">
        <v>12.4</v>
      </c>
      <c r="H10" s="94">
        <v>21</v>
      </c>
      <c r="I10" s="104">
        <v>269</v>
      </c>
      <c r="J10" s="94">
        <v>2.1</v>
      </c>
      <c r="K10" s="68"/>
      <c r="L10" s="68"/>
      <c r="M10" s="68">
        <v>0.96</v>
      </c>
      <c r="N10" s="68">
        <v>2.2</v>
      </c>
      <c r="O10" s="104">
        <v>32.3</v>
      </c>
      <c r="P10" s="68">
        <v>0.54</v>
      </c>
      <c r="Q10" s="94">
        <v>160.84</v>
      </c>
      <c r="R10" s="104">
        <v>240.01</v>
      </c>
      <c r="S10" s="104">
        <v>36.46</v>
      </c>
      <c r="T10" s="68">
        <v>0.93</v>
      </c>
      <c r="U10" s="411"/>
      <c r="V10" s="352">
        <f>SUM(V11:V15)</f>
        <v>10.263805</v>
      </c>
    </row>
    <row r="11" spans="2:22" s="75" customFormat="1" ht="15.75">
      <c r="B11" s="143" t="s">
        <v>139</v>
      </c>
      <c r="C11" s="89"/>
      <c r="D11" s="90">
        <v>25</v>
      </c>
      <c r="E11" s="91">
        <v>25</v>
      </c>
      <c r="F11" s="92"/>
      <c r="G11" s="92"/>
      <c r="H11" s="92"/>
      <c r="I11" s="92"/>
      <c r="J11" s="92"/>
      <c r="K11" s="92"/>
      <c r="L11" s="93"/>
      <c r="M11" s="92"/>
      <c r="N11" s="92"/>
      <c r="O11" s="106"/>
      <c r="P11" s="92"/>
      <c r="Q11" s="96"/>
      <c r="R11" s="106"/>
      <c r="S11" s="92"/>
      <c r="T11" s="92"/>
      <c r="U11" s="412">
        <v>59</v>
      </c>
      <c r="V11" s="411">
        <f>D11*U11/1000</f>
        <v>1.475</v>
      </c>
    </row>
    <row r="12" spans="1:22" s="12" customFormat="1" ht="15.75">
      <c r="A12" s="75"/>
      <c r="B12" s="188" t="s">
        <v>86</v>
      </c>
      <c r="C12" s="89"/>
      <c r="D12" s="90">
        <v>100</v>
      </c>
      <c r="E12" s="91">
        <v>100</v>
      </c>
      <c r="F12" s="156"/>
      <c r="G12" s="310"/>
      <c r="H12" s="310"/>
      <c r="I12" s="310"/>
      <c r="J12" s="310"/>
      <c r="K12" s="310"/>
      <c r="L12" s="310"/>
      <c r="M12" s="310"/>
      <c r="N12" s="310"/>
      <c r="O12" s="311"/>
      <c r="P12" s="310"/>
      <c r="Q12" s="312"/>
      <c r="R12" s="311"/>
      <c r="S12" s="310"/>
      <c r="T12" s="310"/>
      <c r="U12" s="410">
        <v>55.18</v>
      </c>
      <c r="V12" s="411">
        <f>D12*U12/1000</f>
        <v>5.518</v>
      </c>
    </row>
    <row r="13" spans="1:22" s="12" customFormat="1" ht="15.75">
      <c r="A13" s="75"/>
      <c r="B13" s="188" t="s">
        <v>54</v>
      </c>
      <c r="C13" s="89"/>
      <c r="D13" s="90">
        <v>85</v>
      </c>
      <c r="E13" s="91">
        <v>85</v>
      </c>
      <c r="F13" s="156"/>
      <c r="G13" s="310"/>
      <c r="H13" s="310"/>
      <c r="I13" s="310"/>
      <c r="J13" s="310"/>
      <c r="K13" s="310"/>
      <c r="L13" s="310"/>
      <c r="M13" s="310"/>
      <c r="N13" s="310"/>
      <c r="O13" s="311"/>
      <c r="P13" s="310"/>
      <c r="Q13" s="312"/>
      <c r="R13" s="311"/>
      <c r="S13" s="310"/>
      <c r="T13" s="310"/>
      <c r="U13" s="410"/>
      <c r="V13" s="411">
        <f>D13*U13/1000</f>
        <v>0</v>
      </c>
    </row>
    <row r="14" spans="1:22" s="12" customFormat="1" ht="15.75">
      <c r="A14" s="75"/>
      <c r="B14" s="188" t="s">
        <v>58</v>
      </c>
      <c r="C14" s="89"/>
      <c r="D14" s="90">
        <v>5</v>
      </c>
      <c r="E14" s="91">
        <v>5</v>
      </c>
      <c r="F14" s="156"/>
      <c r="G14" s="310"/>
      <c r="H14" s="310"/>
      <c r="I14" s="310"/>
      <c r="J14" s="310"/>
      <c r="K14" s="310"/>
      <c r="L14" s="310"/>
      <c r="M14" s="310"/>
      <c r="N14" s="310"/>
      <c r="O14" s="311"/>
      <c r="P14" s="310"/>
      <c r="Q14" s="312"/>
      <c r="R14" s="311"/>
      <c r="S14" s="310"/>
      <c r="T14" s="310"/>
      <c r="U14" s="410">
        <v>653.09</v>
      </c>
      <c r="V14" s="411">
        <f>D14*U14/1000</f>
        <v>3.2654500000000004</v>
      </c>
    </row>
    <row r="15" spans="1:22" s="12" customFormat="1" ht="15.75">
      <c r="A15" s="75"/>
      <c r="B15" s="188" t="s">
        <v>14</v>
      </c>
      <c r="C15" s="89"/>
      <c r="D15" s="90">
        <v>0.45</v>
      </c>
      <c r="E15" s="91">
        <v>0.45</v>
      </c>
      <c r="F15" s="156"/>
      <c r="G15" s="310"/>
      <c r="H15" s="310"/>
      <c r="I15" s="310"/>
      <c r="J15" s="310"/>
      <c r="K15" s="310"/>
      <c r="L15" s="310"/>
      <c r="M15" s="310"/>
      <c r="N15" s="310"/>
      <c r="O15" s="311"/>
      <c r="P15" s="310"/>
      <c r="Q15" s="312"/>
      <c r="R15" s="311"/>
      <c r="S15" s="310"/>
      <c r="T15" s="310"/>
      <c r="U15" s="410">
        <v>11.9</v>
      </c>
      <c r="V15" s="411">
        <f>D15*U15/1000</f>
        <v>0.005355</v>
      </c>
    </row>
    <row r="16" spans="2:22" s="11" customFormat="1" ht="15.75">
      <c r="B16" s="147" t="s">
        <v>50</v>
      </c>
      <c r="C16" s="33">
        <v>125</v>
      </c>
      <c r="D16" s="33"/>
      <c r="E16" s="33"/>
      <c r="F16" s="33">
        <v>6.2</v>
      </c>
      <c r="G16" s="34">
        <v>3.1</v>
      </c>
      <c r="H16" s="33">
        <v>9.2</v>
      </c>
      <c r="I16" s="33">
        <v>85</v>
      </c>
      <c r="J16" s="33"/>
      <c r="K16" s="33"/>
      <c r="L16" s="34"/>
      <c r="M16" s="34">
        <v>0.9</v>
      </c>
      <c r="N16" s="33">
        <v>0.1</v>
      </c>
      <c r="O16" s="38">
        <v>27</v>
      </c>
      <c r="P16" s="33">
        <v>0</v>
      </c>
      <c r="Q16" s="79">
        <v>165</v>
      </c>
      <c r="R16" s="79">
        <v>130</v>
      </c>
      <c r="S16" s="38">
        <v>20.4</v>
      </c>
      <c r="T16" s="33">
        <v>0.1</v>
      </c>
      <c r="U16" s="60"/>
      <c r="V16" s="352">
        <f>V17</f>
        <v>18</v>
      </c>
    </row>
    <row r="17" spans="1:22" s="12" customFormat="1" ht="15.75">
      <c r="A17" s="75"/>
      <c r="B17" s="143" t="s">
        <v>51</v>
      </c>
      <c r="C17" s="313"/>
      <c r="D17" s="90">
        <v>125</v>
      </c>
      <c r="E17" s="91">
        <v>125</v>
      </c>
      <c r="F17" s="156"/>
      <c r="G17" s="310"/>
      <c r="H17" s="310"/>
      <c r="I17" s="310"/>
      <c r="J17" s="310"/>
      <c r="K17" s="310"/>
      <c r="L17" s="310"/>
      <c r="M17" s="310"/>
      <c r="N17" s="310"/>
      <c r="O17" s="312"/>
      <c r="P17" s="310"/>
      <c r="Q17" s="310"/>
      <c r="R17" s="310"/>
      <c r="S17" s="310"/>
      <c r="T17" s="310"/>
      <c r="U17" s="410">
        <v>144</v>
      </c>
      <c r="V17" s="411">
        <f>D17*U17/1000</f>
        <v>18</v>
      </c>
    </row>
    <row r="18" spans="1:22" s="10" customFormat="1" ht="15.75">
      <c r="A18" s="43"/>
      <c r="B18" s="123" t="s">
        <v>108</v>
      </c>
      <c r="C18" s="40">
        <v>200</v>
      </c>
      <c r="D18" s="40"/>
      <c r="E18" s="40"/>
      <c r="F18" s="41">
        <v>0.1</v>
      </c>
      <c r="G18" s="41">
        <v>0</v>
      </c>
      <c r="H18" s="41">
        <v>7.8</v>
      </c>
      <c r="I18" s="40">
        <v>69</v>
      </c>
      <c r="J18" s="40">
        <v>0.8</v>
      </c>
      <c r="K18" s="40"/>
      <c r="L18" s="40"/>
      <c r="M18" s="41">
        <v>0</v>
      </c>
      <c r="N18" s="41">
        <v>0</v>
      </c>
      <c r="O18" s="41">
        <v>0.2</v>
      </c>
      <c r="P18" s="41">
        <v>0</v>
      </c>
      <c r="Q18" s="74">
        <v>0.42</v>
      </c>
      <c r="R18" s="87">
        <v>0.69</v>
      </c>
      <c r="S18" s="40">
        <v>0.09</v>
      </c>
      <c r="T18" s="40">
        <v>0.04</v>
      </c>
      <c r="U18" s="32"/>
      <c r="V18" s="352">
        <f>SUM(V19:V20)</f>
        <v>0.8057400000000001</v>
      </c>
    </row>
    <row r="19" spans="1:22" s="6" customFormat="1" ht="15.75">
      <c r="A19" s="70"/>
      <c r="B19" s="151" t="s">
        <v>93</v>
      </c>
      <c r="C19" s="40"/>
      <c r="D19" s="69">
        <v>1</v>
      </c>
      <c r="E19" s="69">
        <v>1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153"/>
      <c r="R19" s="203"/>
      <c r="S19" s="71"/>
      <c r="T19" s="71"/>
      <c r="U19" s="32">
        <v>540.09</v>
      </c>
      <c r="V19" s="411">
        <f>D19*U19/1000</f>
        <v>0.5400900000000001</v>
      </c>
    </row>
    <row r="20" spans="1:22" s="6" customFormat="1" ht="15.75">
      <c r="A20" s="70"/>
      <c r="B20" s="151" t="s">
        <v>62</v>
      </c>
      <c r="C20" s="40"/>
      <c r="D20" s="69">
        <v>5</v>
      </c>
      <c r="E20" s="69">
        <v>5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153"/>
      <c r="R20" s="203"/>
      <c r="S20" s="71"/>
      <c r="T20" s="71"/>
      <c r="U20" s="32">
        <v>53.13</v>
      </c>
      <c r="V20" s="411">
        <f>D20*U20/1000</f>
        <v>0.26565000000000005</v>
      </c>
    </row>
    <row r="21" spans="2:22" s="70" customFormat="1" ht="15.75">
      <c r="B21" s="123" t="s">
        <v>53</v>
      </c>
      <c r="C21" s="40">
        <v>40</v>
      </c>
      <c r="D21" s="69"/>
      <c r="E21" s="69"/>
      <c r="F21" s="40">
        <v>2.8</v>
      </c>
      <c r="G21" s="40">
        <v>0.48</v>
      </c>
      <c r="H21" s="40">
        <v>15.6</v>
      </c>
      <c r="I21" s="87">
        <v>80</v>
      </c>
      <c r="J21" s="87">
        <v>0.5</v>
      </c>
      <c r="K21" s="40"/>
      <c r="L21" s="40"/>
      <c r="M21" s="67">
        <v>0</v>
      </c>
      <c r="N21" s="40">
        <v>0.04</v>
      </c>
      <c r="O21" s="107">
        <v>0</v>
      </c>
      <c r="P21" s="40">
        <v>0.28</v>
      </c>
      <c r="Q21" s="97">
        <v>5.8</v>
      </c>
      <c r="R21" s="87">
        <v>30</v>
      </c>
      <c r="S21" s="41">
        <v>9.4</v>
      </c>
      <c r="T21" s="40">
        <v>0.78</v>
      </c>
      <c r="U21" s="35">
        <v>50.08</v>
      </c>
      <c r="V21" s="352">
        <f>C21*U21/1000</f>
        <v>2.0031999999999996</v>
      </c>
    </row>
    <row r="22" spans="1:22" s="11" customFormat="1" ht="31.5">
      <c r="A22" s="270" t="s">
        <v>197</v>
      </c>
      <c r="B22" s="271"/>
      <c r="C22" s="272" t="s">
        <v>229</v>
      </c>
      <c r="D22" s="271"/>
      <c r="E22" s="273"/>
      <c r="F22" s="287">
        <f aca="true" t="shared" si="0" ref="F22:T22">F7+F10+F16+F18+F21</f>
        <v>24.57</v>
      </c>
      <c r="G22" s="287">
        <f t="shared" si="0"/>
        <v>22.48</v>
      </c>
      <c r="H22" s="287">
        <f t="shared" si="0"/>
        <v>62.9</v>
      </c>
      <c r="I22" s="287">
        <f t="shared" si="0"/>
        <v>639</v>
      </c>
      <c r="J22" s="287">
        <f t="shared" si="0"/>
        <v>4.3</v>
      </c>
      <c r="K22" s="287">
        <f t="shared" si="0"/>
        <v>0</v>
      </c>
      <c r="L22" s="287">
        <f t="shared" si="0"/>
        <v>0</v>
      </c>
      <c r="M22" s="287">
        <f t="shared" si="0"/>
        <v>1.8599999999999999</v>
      </c>
      <c r="N22" s="287">
        <f t="shared" si="0"/>
        <v>2.37</v>
      </c>
      <c r="O22" s="287">
        <f t="shared" si="0"/>
        <v>99.5</v>
      </c>
      <c r="P22" s="287">
        <f t="shared" si="0"/>
        <v>1.26</v>
      </c>
      <c r="Q22" s="287">
        <f t="shared" si="0"/>
        <v>340.46000000000004</v>
      </c>
      <c r="R22" s="287">
        <f t="shared" si="0"/>
        <v>423.2</v>
      </c>
      <c r="S22" s="287">
        <f t="shared" si="0"/>
        <v>70.55000000000001</v>
      </c>
      <c r="T22" s="287">
        <f t="shared" si="0"/>
        <v>2.2</v>
      </c>
      <c r="U22" s="60"/>
      <c r="V22" s="287">
        <f>V7+V10+V16+V18+V21</f>
        <v>39.106045</v>
      </c>
    </row>
    <row r="23" spans="1:22" s="10" customFormat="1" ht="15.75">
      <c r="A23" s="264" t="s">
        <v>11</v>
      </c>
      <c r="B23" s="308"/>
      <c r="C23" s="264"/>
      <c r="D23" s="265"/>
      <c r="E23" s="266"/>
      <c r="F23" s="267"/>
      <c r="G23" s="267"/>
      <c r="H23" s="267"/>
      <c r="I23" s="267"/>
      <c r="J23" s="267"/>
      <c r="K23" s="309" t="e">
        <f>SUM(K75+#REF!+#REF!+#REF!+#REF!+#REF!+#REF!+#REF!)</f>
        <v>#REF!</v>
      </c>
      <c r="L23" s="309" t="e">
        <f>SUM(L75+#REF!+#REF!+#REF!+#REF!+#REF!+#REF!+#REF!)</f>
        <v>#REF!</v>
      </c>
      <c r="M23" s="309"/>
      <c r="N23" s="309"/>
      <c r="O23" s="309"/>
      <c r="P23" s="309"/>
      <c r="Q23" s="309"/>
      <c r="R23" s="309"/>
      <c r="S23" s="309"/>
      <c r="T23" s="309"/>
      <c r="U23" s="40"/>
      <c r="V23" s="43"/>
    </row>
    <row r="24" spans="1:22" s="6" customFormat="1" ht="31.5">
      <c r="A24" s="70"/>
      <c r="B24" s="119" t="s">
        <v>246</v>
      </c>
      <c r="C24" s="33">
        <v>30</v>
      </c>
      <c r="D24" s="35">
        <v>50</v>
      </c>
      <c r="E24" s="35">
        <v>30</v>
      </c>
      <c r="F24" s="33">
        <v>0.6</v>
      </c>
      <c r="G24" s="33">
        <v>0.1</v>
      </c>
      <c r="H24" s="33">
        <v>3.2</v>
      </c>
      <c r="I24" s="33">
        <v>16</v>
      </c>
      <c r="J24" s="33">
        <v>0</v>
      </c>
      <c r="K24" s="36"/>
      <c r="L24" s="36"/>
      <c r="M24" s="31">
        <v>3.2</v>
      </c>
      <c r="N24" s="33">
        <v>0.004</v>
      </c>
      <c r="O24" s="34">
        <v>0</v>
      </c>
      <c r="P24" s="34">
        <v>0.2</v>
      </c>
      <c r="Q24" s="30">
        <v>6.5</v>
      </c>
      <c r="R24" s="33">
        <v>8.2</v>
      </c>
      <c r="S24" s="33">
        <v>2.6</v>
      </c>
      <c r="T24" s="33">
        <v>0.24</v>
      </c>
      <c r="U24" s="60">
        <v>180.42</v>
      </c>
      <c r="V24" s="34">
        <f>D24*U24/1000</f>
        <v>9.021</v>
      </c>
    </row>
    <row r="25" spans="2:22" s="43" customFormat="1" ht="15.75">
      <c r="B25" s="133" t="s">
        <v>32</v>
      </c>
      <c r="C25" s="40" t="s">
        <v>230</v>
      </c>
      <c r="D25" s="40"/>
      <c r="E25" s="40"/>
      <c r="F25" s="40">
        <v>5.6</v>
      </c>
      <c r="G25" s="40">
        <v>5.8</v>
      </c>
      <c r="H25" s="40">
        <v>19.2</v>
      </c>
      <c r="I25" s="40">
        <v>164</v>
      </c>
      <c r="J25" s="40">
        <v>1.9</v>
      </c>
      <c r="K25" s="40"/>
      <c r="L25" s="40"/>
      <c r="M25" s="74">
        <v>17.8</v>
      </c>
      <c r="N25" s="67">
        <v>1</v>
      </c>
      <c r="O25" s="74">
        <v>0.2</v>
      </c>
      <c r="P25" s="40">
        <v>0.8</v>
      </c>
      <c r="Q25" s="40">
        <v>41.3</v>
      </c>
      <c r="R25" s="87">
        <v>80</v>
      </c>
      <c r="S25" s="40">
        <v>30</v>
      </c>
      <c r="T25" s="40">
        <v>1</v>
      </c>
      <c r="U25" s="40"/>
      <c r="V25" s="34">
        <f>SUM(V26:V34)</f>
        <v>22.6201</v>
      </c>
    </row>
    <row r="26" spans="2:22" s="28" customFormat="1" ht="15.75">
      <c r="B26" s="142" t="s">
        <v>20</v>
      </c>
      <c r="C26" s="35"/>
      <c r="D26" s="35">
        <v>99</v>
      </c>
      <c r="E26" s="35">
        <v>75</v>
      </c>
      <c r="F26" s="35"/>
      <c r="G26" s="35"/>
      <c r="H26" s="35"/>
      <c r="I26" s="35"/>
      <c r="J26" s="35"/>
      <c r="K26" s="35"/>
      <c r="L26" s="35"/>
      <c r="M26" s="60"/>
      <c r="N26" s="64"/>
      <c r="O26" s="60"/>
      <c r="P26" s="35"/>
      <c r="Q26" s="35"/>
      <c r="R26" s="121"/>
      <c r="S26" s="35"/>
      <c r="T26" s="35"/>
      <c r="U26" s="35">
        <v>50.25</v>
      </c>
      <c r="V26" s="60">
        <f>D26*U26/1000</f>
        <v>4.97475</v>
      </c>
    </row>
    <row r="27" spans="2:22" s="28" customFormat="1" ht="15.75">
      <c r="B27" s="140" t="s">
        <v>130</v>
      </c>
      <c r="C27" s="35"/>
      <c r="D27" s="35">
        <v>108</v>
      </c>
      <c r="E27" s="35">
        <v>75</v>
      </c>
      <c r="F27" s="35"/>
      <c r="G27" s="35"/>
      <c r="H27" s="35"/>
      <c r="I27" s="35"/>
      <c r="J27" s="35"/>
      <c r="K27" s="35"/>
      <c r="L27" s="35"/>
      <c r="M27" s="60"/>
      <c r="N27" s="64"/>
      <c r="O27" s="60"/>
      <c r="P27" s="35"/>
      <c r="Q27" s="35"/>
      <c r="R27" s="121"/>
      <c r="S27" s="35"/>
      <c r="T27" s="35"/>
      <c r="U27" s="35"/>
      <c r="V27" s="60">
        <f aca="true" t="shared" si="1" ref="V27:V34">D27*U27/1000</f>
        <v>0</v>
      </c>
    </row>
    <row r="28" spans="2:22" s="28" customFormat="1" ht="15.75">
      <c r="B28" s="140" t="s">
        <v>131</v>
      </c>
      <c r="C28" s="35"/>
      <c r="D28" s="35">
        <v>114</v>
      </c>
      <c r="E28" s="35">
        <v>75</v>
      </c>
      <c r="F28" s="35"/>
      <c r="G28" s="35"/>
      <c r="H28" s="35"/>
      <c r="I28" s="35"/>
      <c r="J28" s="35"/>
      <c r="K28" s="35"/>
      <c r="L28" s="35"/>
      <c r="M28" s="60"/>
      <c r="N28" s="64"/>
      <c r="O28" s="60"/>
      <c r="P28" s="35"/>
      <c r="Q28" s="35"/>
      <c r="R28" s="121"/>
      <c r="S28" s="35"/>
      <c r="T28" s="35"/>
      <c r="U28" s="35"/>
      <c r="V28" s="60">
        <f t="shared" si="1"/>
        <v>0</v>
      </c>
    </row>
    <row r="29" spans="2:22" s="28" customFormat="1" ht="15.75">
      <c r="B29" s="140" t="s">
        <v>21</v>
      </c>
      <c r="C29" s="35"/>
      <c r="D29" s="35">
        <v>123</v>
      </c>
      <c r="E29" s="35">
        <v>75</v>
      </c>
      <c r="F29" s="35"/>
      <c r="G29" s="35"/>
      <c r="H29" s="35"/>
      <c r="I29" s="35"/>
      <c r="J29" s="35"/>
      <c r="K29" s="35"/>
      <c r="L29" s="35"/>
      <c r="M29" s="60"/>
      <c r="N29" s="64"/>
      <c r="O29" s="60"/>
      <c r="P29" s="35"/>
      <c r="Q29" s="35"/>
      <c r="R29" s="121"/>
      <c r="S29" s="35"/>
      <c r="T29" s="35"/>
      <c r="U29" s="35"/>
      <c r="V29" s="60">
        <f t="shared" si="1"/>
        <v>0</v>
      </c>
    </row>
    <row r="30" spans="2:22" s="28" customFormat="1" ht="15.75">
      <c r="B30" s="140" t="s">
        <v>55</v>
      </c>
      <c r="C30" s="35"/>
      <c r="D30" s="35">
        <v>12</v>
      </c>
      <c r="E30" s="35">
        <v>10</v>
      </c>
      <c r="F30" s="35"/>
      <c r="G30" s="35"/>
      <c r="H30" s="35"/>
      <c r="I30" s="35"/>
      <c r="J30" s="35"/>
      <c r="K30" s="35"/>
      <c r="L30" s="35"/>
      <c r="M30" s="60"/>
      <c r="N30" s="64"/>
      <c r="O30" s="60"/>
      <c r="P30" s="35"/>
      <c r="Q30" s="35"/>
      <c r="R30" s="121"/>
      <c r="S30" s="35"/>
      <c r="T30" s="35"/>
      <c r="U30" s="35">
        <v>32.75</v>
      </c>
      <c r="V30" s="60">
        <f t="shared" si="1"/>
        <v>0.393</v>
      </c>
    </row>
    <row r="31" spans="2:22" s="28" customFormat="1" ht="15.75">
      <c r="B31" s="140" t="s">
        <v>58</v>
      </c>
      <c r="C31" s="35"/>
      <c r="D31" s="35">
        <v>5</v>
      </c>
      <c r="E31" s="35">
        <v>5</v>
      </c>
      <c r="F31" s="35"/>
      <c r="G31" s="35"/>
      <c r="H31" s="35"/>
      <c r="I31" s="35"/>
      <c r="J31" s="35"/>
      <c r="K31" s="35"/>
      <c r="L31" s="35"/>
      <c r="M31" s="60"/>
      <c r="N31" s="64"/>
      <c r="O31" s="60"/>
      <c r="P31" s="35"/>
      <c r="Q31" s="35"/>
      <c r="R31" s="121"/>
      <c r="S31" s="35"/>
      <c r="T31" s="35"/>
      <c r="U31" s="35">
        <v>653.09</v>
      </c>
      <c r="V31" s="60">
        <f t="shared" si="1"/>
        <v>3.2654500000000004</v>
      </c>
    </row>
    <row r="32" spans="2:22" s="28" customFormat="1" ht="15.75">
      <c r="B32" s="142" t="s">
        <v>247</v>
      </c>
      <c r="C32" s="35"/>
      <c r="D32" s="35">
        <v>43</v>
      </c>
      <c r="E32" s="35">
        <v>40</v>
      </c>
      <c r="F32" s="35"/>
      <c r="G32" s="35"/>
      <c r="H32" s="35"/>
      <c r="I32" s="35"/>
      <c r="J32" s="35"/>
      <c r="K32" s="35"/>
      <c r="L32" s="35"/>
      <c r="M32" s="60"/>
      <c r="N32" s="64"/>
      <c r="O32" s="60"/>
      <c r="P32" s="35"/>
      <c r="Q32" s="35"/>
      <c r="R32" s="121"/>
      <c r="S32" s="35"/>
      <c r="T32" s="35"/>
      <c r="U32" s="35">
        <v>325</v>
      </c>
      <c r="V32" s="60">
        <f t="shared" si="1"/>
        <v>13.975</v>
      </c>
    </row>
    <row r="33" spans="2:22" s="28" customFormat="1" ht="15.75">
      <c r="B33" s="140" t="s">
        <v>106</v>
      </c>
      <c r="C33" s="35"/>
      <c r="D33" s="35">
        <v>175</v>
      </c>
      <c r="E33" s="35">
        <v>175</v>
      </c>
      <c r="F33" s="35"/>
      <c r="G33" s="35"/>
      <c r="H33" s="35"/>
      <c r="I33" s="35"/>
      <c r="J33" s="35"/>
      <c r="K33" s="35"/>
      <c r="L33" s="35"/>
      <c r="M33" s="60"/>
      <c r="N33" s="64"/>
      <c r="O33" s="60"/>
      <c r="P33" s="35"/>
      <c r="Q33" s="35"/>
      <c r="R33" s="121"/>
      <c r="S33" s="35"/>
      <c r="T33" s="35"/>
      <c r="U33" s="35"/>
      <c r="V33" s="60">
        <f t="shared" si="1"/>
        <v>0</v>
      </c>
    </row>
    <row r="34" spans="2:22" s="28" customFormat="1" ht="15.75">
      <c r="B34" s="140" t="s">
        <v>14</v>
      </c>
      <c r="C34" s="35"/>
      <c r="D34" s="35">
        <v>1</v>
      </c>
      <c r="E34" s="35">
        <v>1</v>
      </c>
      <c r="F34" s="35"/>
      <c r="G34" s="35"/>
      <c r="H34" s="35"/>
      <c r="I34" s="35"/>
      <c r="J34" s="35"/>
      <c r="K34" s="35"/>
      <c r="L34" s="35"/>
      <c r="M34" s="60"/>
      <c r="N34" s="64"/>
      <c r="O34" s="60"/>
      <c r="P34" s="35"/>
      <c r="Q34" s="35"/>
      <c r="R34" s="121"/>
      <c r="S34" s="35"/>
      <c r="T34" s="35"/>
      <c r="U34" s="35">
        <v>11.9</v>
      </c>
      <c r="V34" s="60">
        <f t="shared" si="1"/>
        <v>0.0119</v>
      </c>
    </row>
    <row r="35" spans="1:22" s="10" customFormat="1" ht="15.75">
      <c r="A35" s="43"/>
      <c r="B35" s="123" t="s">
        <v>248</v>
      </c>
      <c r="C35" s="40">
        <v>100</v>
      </c>
      <c r="D35" s="40"/>
      <c r="E35" s="40"/>
      <c r="F35" s="40">
        <v>12.6</v>
      </c>
      <c r="G35" s="40">
        <v>16.8</v>
      </c>
      <c r="H35" s="41">
        <v>5.7</v>
      </c>
      <c r="I35" s="40">
        <v>296</v>
      </c>
      <c r="J35" s="40">
        <v>0.6</v>
      </c>
      <c r="K35" s="40"/>
      <c r="L35" s="40"/>
      <c r="M35" s="67">
        <v>0.4</v>
      </c>
      <c r="N35" s="41">
        <v>0.3</v>
      </c>
      <c r="O35" s="41">
        <v>0</v>
      </c>
      <c r="P35" s="40">
        <v>1.8</v>
      </c>
      <c r="Q35" s="40">
        <v>218</v>
      </c>
      <c r="R35" s="40">
        <v>153.3</v>
      </c>
      <c r="S35" s="40">
        <v>21.8</v>
      </c>
      <c r="T35" s="40">
        <v>3.1</v>
      </c>
      <c r="U35" s="34"/>
      <c r="V35" s="34">
        <f>SUM(V36:V41)</f>
        <v>36.182775</v>
      </c>
    </row>
    <row r="36" spans="1:22" s="6" customFormat="1" ht="31.5">
      <c r="A36" s="70"/>
      <c r="B36" s="157" t="s">
        <v>249</v>
      </c>
      <c r="C36" s="40"/>
      <c r="D36" s="69">
        <v>79</v>
      </c>
      <c r="E36" s="69">
        <v>79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60">
        <v>440</v>
      </c>
      <c r="V36" s="60">
        <f>D36*U36/1000</f>
        <v>34.76</v>
      </c>
    </row>
    <row r="37" spans="1:22" s="6" customFormat="1" ht="15.75">
      <c r="A37" s="70"/>
      <c r="B37" s="151" t="s">
        <v>57</v>
      </c>
      <c r="C37" s="40"/>
      <c r="D37" s="69">
        <v>3</v>
      </c>
      <c r="E37" s="69">
        <v>3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60">
        <v>125.7</v>
      </c>
      <c r="V37" s="60">
        <f>D37*U37/1000</f>
        <v>0.37710000000000005</v>
      </c>
    </row>
    <row r="38" spans="1:22" s="6" customFormat="1" ht="15.75">
      <c r="A38" s="70"/>
      <c r="B38" s="151" t="s">
        <v>55</v>
      </c>
      <c r="C38" s="40"/>
      <c r="D38" s="69">
        <v>11.9</v>
      </c>
      <c r="E38" s="69">
        <v>10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60">
        <v>32.75</v>
      </c>
      <c r="V38" s="60">
        <f>D38*U38/1000</f>
        <v>0.38972500000000004</v>
      </c>
    </row>
    <row r="39" spans="1:22" s="6" customFormat="1" ht="15.75">
      <c r="A39" s="70"/>
      <c r="B39" s="155" t="s">
        <v>250</v>
      </c>
      <c r="C39" s="40"/>
      <c r="D39" s="69">
        <v>2</v>
      </c>
      <c r="E39" s="69">
        <v>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60">
        <v>264</v>
      </c>
      <c r="V39" s="60">
        <f>D39*U39/1000</f>
        <v>0.528</v>
      </c>
    </row>
    <row r="40" spans="1:22" s="6" customFormat="1" ht="15.75">
      <c r="A40" s="70"/>
      <c r="B40" s="151" t="s">
        <v>56</v>
      </c>
      <c r="C40" s="40"/>
      <c r="D40" s="69">
        <v>3</v>
      </c>
      <c r="E40" s="69">
        <v>3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60">
        <v>39.08</v>
      </c>
      <c r="V40" s="60">
        <f>D40*U40/1000</f>
        <v>0.11724</v>
      </c>
    </row>
    <row r="41" spans="1:22" s="6" customFormat="1" ht="15.75">
      <c r="A41" s="70"/>
      <c r="B41" s="151" t="s">
        <v>14</v>
      </c>
      <c r="C41" s="40"/>
      <c r="D41" s="69">
        <v>0.9</v>
      </c>
      <c r="E41" s="69">
        <v>0.9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60">
        <v>11.9</v>
      </c>
      <c r="V41" s="60">
        <f>D41*U41/1000</f>
        <v>0.01071</v>
      </c>
    </row>
    <row r="42" spans="2:22" s="88" customFormat="1" ht="15.75">
      <c r="B42" s="145" t="s">
        <v>4</v>
      </c>
      <c r="C42" s="87">
        <v>180</v>
      </c>
      <c r="D42" s="41"/>
      <c r="E42" s="41"/>
      <c r="F42" s="41">
        <v>4.07</v>
      </c>
      <c r="G42" s="74">
        <v>6.3</v>
      </c>
      <c r="H42" s="74">
        <v>35</v>
      </c>
      <c r="I42" s="87">
        <v>142</v>
      </c>
      <c r="J42" s="87">
        <v>3.6</v>
      </c>
      <c r="K42" s="41"/>
      <c r="L42" s="41"/>
      <c r="M42" s="41">
        <v>1.7</v>
      </c>
      <c r="N42" s="41">
        <v>0.08</v>
      </c>
      <c r="O42" s="87">
        <v>0.02</v>
      </c>
      <c r="P42" s="41">
        <v>0.65</v>
      </c>
      <c r="Q42" s="74">
        <v>20.6</v>
      </c>
      <c r="R42" s="74">
        <v>113.2</v>
      </c>
      <c r="S42" s="41">
        <v>52.2</v>
      </c>
      <c r="T42" s="41">
        <v>2.5</v>
      </c>
      <c r="U42" s="34"/>
      <c r="V42" s="34">
        <f>SUM(V43:V46)</f>
        <v>7.165080000000001</v>
      </c>
    </row>
    <row r="43" spans="1:22" s="6" customFormat="1" ht="15.75">
      <c r="A43" s="70"/>
      <c r="B43" s="151" t="s">
        <v>61</v>
      </c>
      <c r="C43" s="40"/>
      <c r="D43" s="69">
        <v>42</v>
      </c>
      <c r="E43" s="69">
        <v>42</v>
      </c>
      <c r="F43" s="71"/>
      <c r="G43" s="71"/>
      <c r="H43" s="71"/>
      <c r="I43" s="71"/>
      <c r="J43" s="71"/>
      <c r="K43" s="71"/>
      <c r="L43" s="71"/>
      <c r="M43" s="71"/>
      <c r="N43" s="71"/>
      <c r="O43" s="152"/>
      <c r="P43" s="71"/>
      <c r="Q43" s="153"/>
      <c r="R43" s="153"/>
      <c r="S43" s="71"/>
      <c r="T43" s="71"/>
      <c r="U43" s="60">
        <v>92.65</v>
      </c>
      <c r="V43" s="60">
        <f>D43*U43/1000</f>
        <v>3.8913</v>
      </c>
    </row>
    <row r="44" spans="1:22" s="6" customFormat="1" ht="15.75">
      <c r="A44" s="70"/>
      <c r="B44" s="151" t="s">
        <v>54</v>
      </c>
      <c r="C44" s="40"/>
      <c r="D44" s="69">
        <v>120</v>
      </c>
      <c r="E44" s="69">
        <v>120</v>
      </c>
      <c r="F44" s="71"/>
      <c r="G44" s="71" t="s">
        <v>126</v>
      </c>
      <c r="H44" s="71"/>
      <c r="I44" s="71"/>
      <c r="J44" s="71"/>
      <c r="K44" s="71"/>
      <c r="L44" s="71"/>
      <c r="M44" s="71"/>
      <c r="N44" s="71"/>
      <c r="O44" s="152"/>
      <c r="P44" s="71"/>
      <c r="Q44" s="153"/>
      <c r="R44" s="153"/>
      <c r="S44" s="71"/>
      <c r="T44" s="71"/>
      <c r="U44" s="60"/>
      <c r="V44" s="60">
        <f>D44*U44/1000</f>
        <v>0</v>
      </c>
    </row>
    <row r="45" spans="1:22" s="6" customFormat="1" ht="15.75">
      <c r="A45" s="70"/>
      <c r="B45" s="151" t="s">
        <v>58</v>
      </c>
      <c r="C45" s="40"/>
      <c r="D45" s="69">
        <v>5</v>
      </c>
      <c r="E45" s="69">
        <v>5</v>
      </c>
      <c r="F45" s="71"/>
      <c r="G45" s="71"/>
      <c r="H45" s="71"/>
      <c r="I45" s="71"/>
      <c r="J45" s="71"/>
      <c r="K45" s="71"/>
      <c r="L45" s="71"/>
      <c r="M45" s="71"/>
      <c r="N45" s="71"/>
      <c r="O45" s="152"/>
      <c r="P45" s="71"/>
      <c r="Q45" s="153"/>
      <c r="R45" s="153"/>
      <c r="S45" s="71"/>
      <c r="T45" s="71"/>
      <c r="U45" s="60">
        <v>653.09</v>
      </c>
      <c r="V45" s="60">
        <f>D45*U45/1000</f>
        <v>3.2654500000000004</v>
      </c>
    </row>
    <row r="46" spans="1:22" s="6" customFormat="1" ht="15.75">
      <c r="A46" s="70"/>
      <c r="B46" s="154" t="s">
        <v>14</v>
      </c>
      <c r="C46" s="40"/>
      <c r="D46" s="69">
        <v>0.7</v>
      </c>
      <c r="E46" s="69">
        <v>0.7</v>
      </c>
      <c r="F46" s="71"/>
      <c r="G46" s="71"/>
      <c r="H46" s="71"/>
      <c r="I46" s="71"/>
      <c r="J46" s="71"/>
      <c r="K46" s="71"/>
      <c r="L46" s="71"/>
      <c r="M46" s="71"/>
      <c r="N46" s="71"/>
      <c r="O46" s="152"/>
      <c r="P46" s="71"/>
      <c r="Q46" s="153"/>
      <c r="R46" s="153"/>
      <c r="S46" s="71"/>
      <c r="T46" s="71"/>
      <c r="U46" s="60">
        <v>11.9</v>
      </c>
      <c r="V46" s="60">
        <f>D46*U46/1000</f>
        <v>0.00833</v>
      </c>
    </row>
    <row r="47" spans="2:22" s="43" customFormat="1" ht="15.75">
      <c r="B47" s="133" t="s">
        <v>121</v>
      </c>
      <c r="C47" s="40">
        <v>200</v>
      </c>
      <c r="D47" s="40"/>
      <c r="E47" s="40"/>
      <c r="F47" s="41">
        <v>0.9</v>
      </c>
      <c r="G47" s="41">
        <v>0</v>
      </c>
      <c r="H47" s="40">
        <v>4</v>
      </c>
      <c r="I47" s="40">
        <v>74</v>
      </c>
      <c r="J47" s="40">
        <v>0</v>
      </c>
      <c r="K47" s="40"/>
      <c r="L47" s="40"/>
      <c r="M47" s="41">
        <v>3.4</v>
      </c>
      <c r="N47" s="40">
        <v>0.01</v>
      </c>
      <c r="O47" s="87">
        <v>0</v>
      </c>
      <c r="P47" s="40">
        <v>0.92</v>
      </c>
      <c r="Q47" s="74">
        <v>26.26</v>
      </c>
      <c r="R47" s="74">
        <v>22.63</v>
      </c>
      <c r="S47" s="74">
        <v>16.67</v>
      </c>
      <c r="T47" s="41">
        <v>0.55</v>
      </c>
      <c r="U47" s="34"/>
      <c r="V47" s="34">
        <f>SUM(V48:V50)</f>
        <v>4.41434</v>
      </c>
    </row>
    <row r="48" spans="1:22" s="6" customFormat="1" ht="15.75">
      <c r="A48" s="70"/>
      <c r="B48" s="151" t="s">
        <v>87</v>
      </c>
      <c r="C48" s="40"/>
      <c r="D48" s="69">
        <v>18</v>
      </c>
      <c r="E48" s="69">
        <v>18</v>
      </c>
      <c r="F48" s="71"/>
      <c r="G48" s="71"/>
      <c r="H48" s="71"/>
      <c r="I48" s="71"/>
      <c r="J48" s="71"/>
      <c r="K48" s="71"/>
      <c r="L48" s="71"/>
      <c r="M48" s="71"/>
      <c r="N48" s="71"/>
      <c r="O48" s="152"/>
      <c r="P48" s="71"/>
      <c r="Q48" s="153"/>
      <c r="R48" s="153"/>
      <c r="S48" s="71"/>
      <c r="T48" s="71"/>
      <c r="U48" s="60">
        <v>238.28</v>
      </c>
      <c r="V48" s="60">
        <f>D48*U48/1000</f>
        <v>4.28904</v>
      </c>
    </row>
    <row r="49" spans="1:22" s="6" customFormat="1" ht="15.75">
      <c r="A49" s="70"/>
      <c r="B49" s="151" t="s">
        <v>111</v>
      </c>
      <c r="C49" s="40"/>
      <c r="D49" s="69">
        <v>0.07</v>
      </c>
      <c r="E49" s="69">
        <v>0.07</v>
      </c>
      <c r="F49" s="71"/>
      <c r="G49" s="71"/>
      <c r="H49" s="71"/>
      <c r="I49" s="71"/>
      <c r="J49" s="71"/>
      <c r="K49" s="71"/>
      <c r="L49" s="71"/>
      <c r="M49" s="71"/>
      <c r="N49" s="71"/>
      <c r="O49" s="152"/>
      <c r="P49" s="71"/>
      <c r="Q49" s="153"/>
      <c r="R49" s="153"/>
      <c r="S49" s="71"/>
      <c r="T49" s="71"/>
      <c r="U49" s="60">
        <v>1790</v>
      </c>
      <c r="V49" s="60">
        <f>D49*U49/1000</f>
        <v>0.12530000000000002</v>
      </c>
    </row>
    <row r="50" spans="1:22" s="6" customFormat="1" ht="15.75">
      <c r="A50" s="70"/>
      <c r="B50" s="154" t="s">
        <v>54</v>
      </c>
      <c r="C50" s="40"/>
      <c r="D50" s="69">
        <v>190</v>
      </c>
      <c r="E50" s="69">
        <v>190</v>
      </c>
      <c r="F50" s="158"/>
      <c r="G50" s="71"/>
      <c r="H50" s="71"/>
      <c r="I50" s="159"/>
      <c r="J50" s="159"/>
      <c r="K50" s="159"/>
      <c r="L50" s="71"/>
      <c r="M50" s="71"/>
      <c r="N50" s="71"/>
      <c r="O50" s="152"/>
      <c r="P50" s="71"/>
      <c r="Q50" s="153"/>
      <c r="R50" s="153"/>
      <c r="S50" s="159"/>
      <c r="T50" s="71"/>
      <c r="U50" s="418"/>
      <c r="V50" s="60">
        <f>D50*U50/1000</f>
        <v>0</v>
      </c>
    </row>
    <row r="51" spans="2:22" s="70" customFormat="1" ht="15.75">
      <c r="B51" s="123" t="s">
        <v>53</v>
      </c>
      <c r="C51" s="40">
        <v>40</v>
      </c>
      <c r="D51" s="69"/>
      <c r="E51" s="69"/>
      <c r="F51" s="40">
        <v>2.8</v>
      </c>
      <c r="G51" s="40">
        <v>0.48</v>
      </c>
      <c r="H51" s="40">
        <v>15.6</v>
      </c>
      <c r="I51" s="87">
        <v>80</v>
      </c>
      <c r="J51" s="74">
        <v>1.5</v>
      </c>
      <c r="K51" s="40"/>
      <c r="L51" s="40"/>
      <c r="M51" s="67">
        <v>0</v>
      </c>
      <c r="N51" s="40">
        <v>0.04</v>
      </c>
      <c r="O51" s="107">
        <v>0</v>
      </c>
      <c r="P51" s="40">
        <v>0.28</v>
      </c>
      <c r="Q51" s="97">
        <v>5.8</v>
      </c>
      <c r="R51" s="74">
        <v>30</v>
      </c>
      <c r="S51" s="41">
        <v>9.4</v>
      </c>
      <c r="T51" s="40">
        <v>0.78</v>
      </c>
      <c r="U51" s="86">
        <v>50.08</v>
      </c>
      <c r="V51" s="34">
        <f>C51*U51/1000</f>
        <v>2.0031999999999996</v>
      </c>
    </row>
    <row r="52" spans="1:22" s="7" customFormat="1" ht="31.5">
      <c r="A52" s="276" t="s">
        <v>198</v>
      </c>
      <c r="B52" s="317"/>
      <c r="C52" s="277">
        <v>870</v>
      </c>
      <c r="D52" s="277"/>
      <c r="E52" s="278"/>
      <c r="F52" s="413">
        <f aca="true" t="shared" si="2" ref="F52:T52">F24+F25+F35+F42+F47+F51</f>
        <v>26.569999999999997</v>
      </c>
      <c r="G52" s="413">
        <f t="shared" si="2"/>
        <v>29.48</v>
      </c>
      <c r="H52" s="413">
        <f t="shared" si="2"/>
        <v>82.69999999999999</v>
      </c>
      <c r="I52" s="413">
        <f t="shared" si="2"/>
        <v>772</v>
      </c>
      <c r="J52" s="413">
        <f t="shared" si="2"/>
        <v>7.6</v>
      </c>
      <c r="K52" s="413">
        <f t="shared" si="2"/>
        <v>0</v>
      </c>
      <c r="L52" s="413">
        <f t="shared" si="2"/>
        <v>0</v>
      </c>
      <c r="M52" s="413">
        <f t="shared" si="2"/>
        <v>26.499999999999996</v>
      </c>
      <c r="N52" s="413">
        <f t="shared" si="2"/>
        <v>1.4340000000000002</v>
      </c>
      <c r="O52" s="413">
        <f t="shared" si="2"/>
        <v>0.22</v>
      </c>
      <c r="P52" s="413">
        <f t="shared" si="2"/>
        <v>4.65</v>
      </c>
      <c r="Q52" s="413">
        <f t="shared" si="2"/>
        <v>318.46000000000004</v>
      </c>
      <c r="R52" s="413">
        <f t="shared" si="2"/>
        <v>407.33</v>
      </c>
      <c r="S52" s="413">
        <f t="shared" si="2"/>
        <v>132.67000000000002</v>
      </c>
      <c r="T52" s="413">
        <f t="shared" si="2"/>
        <v>8.17</v>
      </c>
      <c r="U52" s="413"/>
      <c r="V52" s="413">
        <f>V24+V25+V35+V42+V47+V51</f>
        <v>81.406495</v>
      </c>
    </row>
    <row r="53" spans="1:22" s="10" customFormat="1" ht="31.5">
      <c r="A53" s="280" t="s">
        <v>199</v>
      </c>
      <c r="B53" s="318"/>
      <c r="C53" s="281" t="s">
        <v>200</v>
      </c>
      <c r="D53" s="282"/>
      <c r="E53" s="282"/>
      <c r="F53" s="414">
        <f aca="true" t="shared" si="3" ref="F53:T53">F22+F52</f>
        <v>51.14</v>
      </c>
      <c r="G53" s="414">
        <f t="shared" si="3"/>
        <v>51.96</v>
      </c>
      <c r="H53" s="414">
        <f t="shared" si="3"/>
        <v>145.6</v>
      </c>
      <c r="I53" s="414">
        <f t="shared" si="3"/>
        <v>1411</v>
      </c>
      <c r="J53" s="414">
        <f t="shared" si="3"/>
        <v>11.899999999999999</v>
      </c>
      <c r="K53" s="414">
        <f t="shared" si="3"/>
        <v>0</v>
      </c>
      <c r="L53" s="414">
        <f t="shared" si="3"/>
        <v>0</v>
      </c>
      <c r="M53" s="414">
        <f t="shared" si="3"/>
        <v>28.359999999999996</v>
      </c>
      <c r="N53" s="414">
        <f t="shared" si="3"/>
        <v>3.8040000000000003</v>
      </c>
      <c r="O53" s="414">
        <f t="shared" si="3"/>
        <v>99.72</v>
      </c>
      <c r="P53" s="414">
        <f t="shared" si="3"/>
        <v>5.91</v>
      </c>
      <c r="Q53" s="414">
        <f t="shared" si="3"/>
        <v>658.9200000000001</v>
      </c>
      <c r="R53" s="414">
        <f t="shared" si="3"/>
        <v>830.53</v>
      </c>
      <c r="S53" s="414">
        <f t="shared" si="3"/>
        <v>203.22000000000003</v>
      </c>
      <c r="T53" s="414">
        <f t="shared" si="3"/>
        <v>10.370000000000001</v>
      </c>
      <c r="U53" s="414"/>
      <c r="V53" s="414">
        <f>V22+V52</f>
        <v>120.51254</v>
      </c>
    </row>
    <row r="54" spans="1:22" s="6" customFormat="1" ht="15.75">
      <c r="A54" s="258" t="s">
        <v>201</v>
      </c>
      <c r="B54" s="259"/>
      <c r="C54" s="260"/>
      <c r="D54" s="261"/>
      <c r="E54" s="258"/>
      <c r="F54" s="262"/>
      <c r="G54" s="263"/>
      <c r="H54" s="263"/>
      <c r="I54" s="263"/>
      <c r="J54" s="375"/>
      <c r="K54" s="302"/>
      <c r="L54" s="303"/>
      <c r="M54" s="306"/>
      <c r="N54" s="306"/>
      <c r="O54" s="306"/>
      <c r="P54" s="306"/>
      <c r="Q54" s="306"/>
      <c r="R54" s="306"/>
      <c r="S54" s="306"/>
      <c r="T54" s="307"/>
      <c r="U54" s="12"/>
      <c r="V54" s="12"/>
    </row>
    <row r="55" spans="1:22" s="10" customFormat="1" ht="15.75">
      <c r="A55" s="264" t="s">
        <v>52</v>
      </c>
      <c r="B55" s="308"/>
      <c r="C55" s="264"/>
      <c r="D55" s="265"/>
      <c r="E55" s="266"/>
      <c r="F55" s="267"/>
      <c r="G55" s="267"/>
      <c r="H55" s="267"/>
      <c r="I55" s="267"/>
      <c r="J55" s="267"/>
      <c r="K55" s="309"/>
      <c r="L55" s="309" t="e">
        <f>SUM(#REF!+#REF!+#REF!+#REF!+#REF!+#REF!)</f>
        <v>#REF!</v>
      </c>
      <c r="M55" s="309"/>
      <c r="N55" s="309"/>
      <c r="O55" s="309"/>
      <c r="P55" s="309"/>
      <c r="Q55" s="309"/>
      <c r="R55" s="309"/>
      <c r="S55" s="309"/>
      <c r="T55" s="309"/>
      <c r="U55" s="12"/>
      <c r="V55" s="12"/>
    </row>
    <row r="56" spans="2:22" s="43" customFormat="1" ht="31.5">
      <c r="B56" s="144" t="s">
        <v>151</v>
      </c>
      <c r="C56" s="299" t="s">
        <v>42</v>
      </c>
      <c r="D56" s="42"/>
      <c r="E56" s="66"/>
      <c r="F56" s="67">
        <v>6.27</v>
      </c>
      <c r="G56" s="68">
        <v>7.86</v>
      </c>
      <c r="H56" s="68">
        <v>11.83</v>
      </c>
      <c r="I56" s="94">
        <v>155</v>
      </c>
      <c r="J56" s="94">
        <v>1.2</v>
      </c>
      <c r="K56" s="94"/>
      <c r="L56" s="94"/>
      <c r="M56" s="94">
        <v>0.11</v>
      </c>
      <c r="N56" s="94">
        <v>0.04</v>
      </c>
      <c r="O56" s="94">
        <v>51.5</v>
      </c>
      <c r="P56" s="94">
        <v>0.45</v>
      </c>
      <c r="Q56" s="94">
        <v>157.2</v>
      </c>
      <c r="R56" s="104">
        <v>111</v>
      </c>
      <c r="S56" s="94">
        <v>12.45</v>
      </c>
      <c r="T56" s="94">
        <v>0.45</v>
      </c>
      <c r="U56" s="94"/>
      <c r="V56" s="68">
        <f>SUM(V57:V59)</f>
        <v>19.5833</v>
      </c>
    </row>
    <row r="57" spans="2:22" s="12" customFormat="1" ht="15.75">
      <c r="B57" s="137" t="s">
        <v>237</v>
      </c>
      <c r="C57" s="49"/>
      <c r="D57" s="46">
        <v>30</v>
      </c>
      <c r="E57" s="50">
        <v>30</v>
      </c>
      <c r="F57" s="23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05"/>
      <c r="S57" s="51"/>
      <c r="T57" s="51"/>
      <c r="U57" s="51">
        <v>50.08</v>
      </c>
      <c r="V57" s="310">
        <f>D57*U57/1000</f>
        <v>1.5024</v>
      </c>
    </row>
    <row r="58" spans="2:22" s="12" customFormat="1" ht="15.75">
      <c r="B58" s="137" t="s">
        <v>58</v>
      </c>
      <c r="C58" s="49"/>
      <c r="D58" s="46">
        <v>10</v>
      </c>
      <c r="E58" s="50">
        <v>10</v>
      </c>
      <c r="F58" s="23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05"/>
      <c r="S58" s="51"/>
      <c r="T58" s="51"/>
      <c r="U58" s="51">
        <v>653.09</v>
      </c>
      <c r="V58" s="310">
        <f>D58*U58/1000</f>
        <v>6.530900000000001</v>
      </c>
    </row>
    <row r="59" spans="2:22" s="12" customFormat="1" ht="15.75">
      <c r="B59" s="137" t="s">
        <v>39</v>
      </c>
      <c r="C59" s="49"/>
      <c r="D59" s="46">
        <v>16.5</v>
      </c>
      <c r="E59" s="50">
        <v>15</v>
      </c>
      <c r="F59" s="23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05"/>
      <c r="S59" s="51"/>
      <c r="T59" s="51"/>
      <c r="U59" s="51">
        <v>700</v>
      </c>
      <c r="V59" s="310">
        <f>D59*U59/1000</f>
        <v>11.55</v>
      </c>
    </row>
    <row r="60" spans="2:22" s="43" customFormat="1" ht="31.5">
      <c r="B60" s="119" t="s">
        <v>38</v>
      </c>
      <c r="C60" s="33">
        <v>200</v>
      </c>
      <c r="D60" s="33"/>
      <c r="E60" s="33"/>
      <c r="F60" s="33">
        <v>10.9</v>
      </c>
      <c r="G60" s="34">
        <v>14.6</v>
      </c>
      <c r="H60" s="33">
        <v>9.5</v>
      </c>
      <c r="I60" s="33">
        <v>284</v>
      </c>
      <c r="J60" s="33">
        <v>0.9</v>
      </c>
      <c r="K60" s="33"/>
      <c r="L60" s="34"/>
      <c r="M60" s="34">
        <v>0.5</v>
      </c>
      <c r="N60" s="33">
        <v>0.1</v>
      </c>
      <c r="O60" s="79">
        <v>291.6</v>
      </c>
      <c r="P60" s="33">
        <v>1.7</v>
      </c>
      <c r="Q60" s="38">
        <v>99.8</v>
      </c>
      <c r="R60" s="79">
        <v>224.8</v>
      </c>
      <c r="S60" s="38">
        <v>17.1</v>
      </c>
      <c r="T60" s="33">
        <v>2.5</v>
      </c>
      <c r="U60" s="34"/>
      <c r="V60" s="34">
        <f>SUM(V61:V68)</f>
        <v>47.86145</v>
      </c>
    </row>
    <row r="61" spans="2:22" s="12" customFormat="1" ht="15.75">
      <c r="B61" s="137" t="s">
        <v>89</v>
      </c>
      <c r="C61" s="54"/>
      <c r="D61" s="46">
        <v>110</v>
      </c>
      <c r="E61" s="50">
        <v>110</v>
      </c>
      <c r="F61" s="23"/>
      <c r="G61" s="51"/>
      <c r="H61" s="51"/>
      <c r="I61" s="51"/>
      <c r="J61" s="51"/>
      <c r="K61" s="51"/>
      <c r="L61" s="51"/>
      <c r="M61" s="51"/>
      <c r="N61" s="51"/>
      <c r="O61" s="105"/>
      <c r="P61" s="51"/>
      <c r="Q61" s="95"/>
      <c r="R61" s="105"/>
      <c r="S61" s="51"/>
      <c r="T61" s="51"/>
      <c r="U61" s="51">
        <v>248</v>
      </c>
      <c r="V61" s="60">
        <f>D61*U61/1000</f>
        <v>27.28</v>
      </c>
    </row>
    <row r="62" spans="2:22" s="12" customFormat="1" ht="15.75">
      <c r="B62" s="137" t="s">
        <v>86</v>
      </c>
      <c r="C62" s="54"/>
      <c r="D62" s="46">
        <v>42</v>
      </c>
      <c r="E62" s="50">
        <v>42</v>
      </c>
      <c r="F62" s="23"/>
      <c r="G62" s="51"/>
      <c r="H62" s="51"/>
      <c r="I62" s="51"/>
      <c r="J62" s="51"/>
      <c r="K62" s="51"/>
      <c r="L62" s="51"/>
      <c r="M62" s="51"/>
      <c r="N62" s="51"/>
      <c r="O62" s="105"/>
      <c r="P62" s="51"/>
      <c r="Q62" s="95"/>
      <c r="R62" s="105"/>
      <c r="S62" s="51"/>
      <c r="T62" s="51"/>
      <c r="U62" s="51">
        <v>55.18</v>
      </c>
      <c r="V62" s="60">
        <f aca="true" t="shared" si="4" ref="V62:V68">D62*U62/1000</f>
        <v>2.31756</v>
      </c>
    </row>
    <row r="63" spans="2:22" s="12" customFormat="1" ht="15.75">
      <c r="B63" s="137" t="s">
        <v>57</v>
      </c>
      <c r="C63" s="54"/>
      <c r="D63" s="46">
        <v>3</v>
      </c>
      <c r="E63" s="50">
        <v>3</v>
      </c>
      <c r="F63" s="23"/>
      <c r="G63" s="51"/>
      <c r="H63" s="51"/>
      <c r="I63" s="51"/>
      <c r="J63" s="51"/>
      <c r="K63" s="51"/>
      <c r="L63" s="51"/>
      <c r="M63" s="51"/>
      <c r="N63" s="51"/>
      <c r="O63" s="105"/>
      <c r="P63" s="51"/>
      <c r="Q63" s="95"/>
      <c r="R63" s="105"/>
      <c r="S63" s="51"/>
      <c r="T63" s="51"/>
      <c r="U63" s="51">
        <v>125.7</v>
      </c>
      <c r="V63" s="60">
        <f t="shared" si="4"/>
        <v>0.37710000000000005</v>
      </c>
    </row>
    <row r="64" spans="2:22" s="59" customFormat="1" ht="15.75">
      <c r="B64" s="138" t="s">
        <v>26</v>
      </c>
      <c r="C64" s="114"/>
      <c r="D64" s="55"/>
      <c r="E64" s="56">
        <v>145</v>
      </c>
      <c r="F64" s="57"/>
      <c r="G64" s="58"/>
      <c r="H64" s="58"/>
      <c r="I64" s="58"/>
      <c r="J64" s="58"/>
      <c r="K64" s="58"/>
      <c r="L64" s="58"/>
      <c r="M64" s="58"/>
      <c r="N64" s="58"/>
      <c r="O64" s="115"/>
      <c r="P64" s="58"/>
      <c r="Q64" s="116"/>
      <c r="R64" s="115"/>
      <c r="S64" s="58"/>
      <c r="T64" s="58"/>
      <c r="U64" s="58"/>
      <c r="V64" s="60">
        <f t="shared" si="4"/>
        <v>0</v>
      </c>
    </row>
    <row r="65" spans="2:22" s="12" customFormat="1" ht="15.75">
      <c r="B65" s="137" t="s">
        <v>58</v>
      </c>
      <c r="C65" s="54"/>
      <c r="D65" s="46">
        <v>5</v>
      </c>
      <c r="E65" s="50">
        <v>5</v>
      </c>
      <c r="F65" s="23"/>
      <c r="G65" s="51"/>
      <c r="H65" s="51"/>
      <c r="I65" s="51"/>
      <c r="J65" s="51"/>
      <c r="K65" s="51"/>
      <c r="L65" s="51"/>
      <c r="M65" s="51"/>
      <c r="N65" s="51"/>
      <c r="O65" s="105"/>
      <c r="P65" s="51"/>
      <c r="Q65" s="95"/>
      <c r="R65" s="105"/>
      <c r="S65" s="51"/>
      <c r="T65" s="51"/>
      <c r="U65" s="51">
        <v>653.09</v>
      </c>
      <c r="V65" s="60">
        <f t="shared" si="4"/>
        <v>3.2654500000000004</v>
      </c>
    </row>
    <row r="66" spans="2:22" s="12" customFormat="1" ht="15.75">
      <c r="B66" s="137" t="s">
        <v>14</v>
      </c>
      <c r="C66" s="54"/>
      <c r="D66" s="46">
        <v>0.6</v>
      </c>
      <c r="E66" s="50">
        <v>0.6</v>
      </c>
      <c r="F66" s="23"/>
      <c r="G66" s="51"/>
      <c r="H66" s="51"/>
      <c r="I66" s="51"/>
      <c r="J66" s="51"/>
      <c r="K66" s="51"/>
      <c r="L66" s="51"/>
      <c r="M66" s="51"/>
      <c r="N66" s="51"/>
      <c r="O66" s="105"/>
      <c r="P66" s="51"/>
      <c r="Q66" s="95"/>
      <c r="R66" s="105"/>
      <c r="S66" s="51"/>
      <c r="T66" s="51"/>
      <c r="U66" s="51">
        <v>11.9</v>
      </c>
      <c r="V66" s="60">
        <f t="shared" si="4"/>
        <v>0.00714</v>
      </c>
    </row>
    <row r="67" spans="2:22" s="10" customFormat="1" ht="15.75">
      <c r="B67" s="139" t="s">
        <v>27</v>
      </c>
      <c r="C67" s="52"/>
      <c r="D67" s="15"/>
      <c r="E67" s="48">
        <v>50</v>
      </c>
      <c r="F67" s="18"/>
      <c r="G67" s="53"/>
      <c r="H67" s="53"/>
      <c r="I67" s="53"/>
      <c r="J67" s="53"/>
      <c r="K67" s="53"/>
      <c r="L67" s="53"/>
      <c r="M67" s="53"/>
      <c r="N67" s="53"/>
      <c r="O67" s="117"/>
      <c r="P67" s="53"/>
      <c r="Q67" s="103"/>
      <c r="R67" s="117"/>
      <c r="S67" s="53"/>
      <c r="T67" s="53"/>
      <c r="U67" s="53"/>
      <c r="V67" s="60">
        <f t="shared" si="4"/>
        <v>0</v>
      </c>
    </row>
    <row r="68" spans="2:22" s="12" customFormat="1" ht="15.75">
      <c r="B68" s="137" t="s">
        <v>134</v>
      </c>
      <c r="C68" s="54"/>
      <c r="D68" s="46">
        <v>90</v>
      </c>
      <c r="E68" s="50">
        <v>50</v>
      </c>
      <c r="F68" s="23"/>
      <c r="G68" s="51"/>
      <c r="H68" s="51"/>
      <c r="I68" s="51"/>
      <c r="J68" s="51"/>
      <c r="K68" s="51"/>
      <c r="L68" s="51"/>
      <c r="M68" s="51"/>
      <c r="N68" s="51"/>
      <c r="O68" s="105"/>
      <c r="P68" s="51"/>
      <c r="Q68" s="95"/>
      <c r="R68" s="105"/>
      <c r="S68" s="51"/>
      <c r="T68" s="51"/>
      <c r="U68" s="51">
        <v>162.38</v>
      </c>
      <c r="V68" s="60">
        <f t="shared" si="4"/>
        <v>14.614199999999999</v>
      </c>
    </row>
    <row r="69" spans="2:22" s="11" customFormat="1" ht="15.75">
      <c r="B69" s="147" t="s">
        <v>50</v>
      </c>
      <c r="C69" s="33">
        <v>125</v>
      </c>
      <c r="D69" s="33"/>
      <c r="E69" s="33"/>
      <c r="F69" s="33">
        <v>6.2</v>
      </c>
      <c r="G69" s="34">
        <v>3.1</v>
      </c>
      <c r="H69" s="33">
        <v>9.2</v>
      </c>
      <c r="I69" s="33">
        <v>85</v>
      </c>
      <c r="J69" s="33">
        <v>0.9</v>
      </c>
      <c r="K69" s="33"/>
      <c r="L69" s="34"/>
      <c r="M69" s="34">
        <v>0.9</v>
      </c>
      <c r="N69" s="33">
        <v>0.1</v>
      </c>
      <c r="O69" s="34">
        <v>27</v>
      </c>
      <c r="P69" s="33">
        <v>0</v>
      </c>
      <c r="Q69" s="79">
        <v>165</v>
      </c>
      <c r="R69" s="79">
        <v>130</v>
      </c>
      <c r="S69" s="34">
        <v>20.4</v>
      </c>
      <c r="T69" s="33">
        <v>0.1</v>
      </c>
      <c r="U69" s="34"/>
      <c r="V69" s="34">
        <f>V70</f>
        <v>18</v>
      </c>
    </row>
    <row r="70" spans="2:22" s="12" customFormat="1" ht="15.75">
      <c r="B70" s="137" t="s">
        <v>51</v>
      </c>
      <c r="C70" s="54"/>
      <c r="D70" s="46">
        <v>125</v>
      </c>
      <c r="E70" s="50">
        <v>125</v>
      </c>
      <c r="F70" s="23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>
        <v>144</v>
      </c>
      <c r="V70" s="60">
        <f>D70*U70/1000</f>
        <v>18</v>
      </c>
    </row>
    <row r="71" spans="1:22" s="43" customFormat="1" ht="15.75">
      <c r="A71" s="345"/>
      <c r="B71" s="371" t="s">
        <v>125</v>
      </c>
      <c r="C71" s="40">
        <v>200</v>
      </c>
      <c r="D71" s="40"/>
      <c r="E71" s="40"/>
      <c r="F71" s="40">
        <v>4.07</v>
      </c>
      <c r="G71" s="40">
        <v>3.5</v>
      </c>
      <c r="H71" s="40">
        <v>9</v>
      </c>
      <c r="I71" s="40">
        <v>109</v>
      </c>
      <c r="J71" s="40">
        <v>0.9</v>
      </c>
      <c r="K71" s="40"/>
      <c r="L71" s="40"/>
      <c r="M71" s="42">
        <v>1.6</v>
      </c>
      <c r="N71" s="40">
        <v>0.05</v>
      </c>
      <c r="O71" s="107">
        <v>18</v>
      </c>
      <c r="P71" s="40">
        <v>0.01</v>
      </c>
      <c r="Q71" s="97">
        <v>152.2</v>
      </c>
      <c r="R71" s="87">
        <v>125</v>
      </c>
      <c r="S71" s="40">
        <v>21.34</v>
      </c>
      <c r="T71" s="40">
        <v>0.5</v>
      </c>
      <c r="U71" s="40"/>
      <c r="V71" s="34">
        <f>SUM(V72:V74)</f>
        <v>8.468</v>
      </c>
    </row>
    <row r="72" spans="1:22" s="6" customFormat="1" ht="15.75">
      <c r="A72" s="354"/>
      <c r="B72" s="372" t="s">
        <v>92</v>
      </c>
      <c r="C72" s="40"/>
      <c r="D72" s="69">
        <v>5</v>
      </c>
      <c r="E72" s="69">
        <v>5</v>
      </c>
      <c r="F72" s="71"/>
      <c r="G72" s="71"/>
      <c r="H72" s="71"/>
      <c r="I72" s="71"/>
      <c r="J72" s="71"/>
      <c r="K72" s="21"/>
      <c r="L72" s="21"/>
      <c r="M72" s="16"/>
      <c r="N72" s="21"/>
      <c r="O72" s="110"/>
      <c r="P72" s="21"/>
      <c r="Q72" s="98"/>
      <c r="R72" s="202"/>
      <c r="S72" s="21"/>
      <c r="T72" s="21"/>
      <c r="U72" s="39">
        <v>590</v>
      </c>
      <c r="V72" s="60">
        <f>D72*U72/1000</f>
        <v>2.95</v>
      </c>
    </row>
    <row r="73" spans="1:22" s="6" customFormat="1" ht="15.75">
      <c r="A73" s="354"/>
      <c r="B73" s="372" t="s">
        <v>54</v>
      </c>
      <c r="C73" s="40"/>
      <c r="D73" s="69">
        <v>100</v>
      </c>
      <c r="E73" s="69">
        <v>100</v>
      </c>
      <c r="F73" s="71"/>
      <c r="G73" s="71"/>
      <c r="H73" s="71"/>
      <c r="I73" s="71"/>
      <c r="J73" s="71"/>
      <c r="K73" s="21"/>
      <c r="L73" s="21"/>
      <c r="M73" s="21"/>
      <c r="N73" s="21"/>
      <c r="O73" s="112"/>
      <c r="P73" s="21"/>
      <c r="Q73" s="99"/>
      <c r="R73" s="202"/>
      <c r="S73" s="21"/>
      <c r="T73" s="21"/>
      <c r="U73" s="39">
        <v>55.18</v>
      </c>
      <c r="V73" s="60">
        <f>D73*U73/1000</f>
        <v>5.518</v>
      </c>
    </row>
    <row r="74" spans="1:22" s="6" customFormat="1" ht="15.75">
      <c r="A74" s="354"/>
      <c r="B74" s="372" t="s">
        <v>86</v>
      </c>
      <c r="C74" s="40"/>
      <c r="D74" s="69">
        <v>100</v>
      </c>
      <c r="E74" s="69">
        <v>100</v>
      </c>
      <c r="F74" s="71"/>
      <c r="G74" s="71"/>
      <c r="H74" s="71"/>
      <c r="I74" s="71"/>
      <c r="J74" s="71"/>
      <c r="K74" s="21"/>
      <c r="L74" s="21"/>
      <c r="M74" s="21"/>
      <c r="N74" s="21"/>
      <c r="O74" s="112"/>
      <c r="P74" s="21"/>
      <c r="Q74" s="99"/>
      <c r="R74" s="202"/>
      <c r="S74" s="21"/>
      <c r="T74" s="21"/>
      <c r="U74" s="39"/>
      <c r="V74" s="60">
        <f>D74*U74/1000</f>
        <v>0</v>
      </c>
    </row>
    <row r="75" spans="2:22" s="70" customFormat="1" ht="15.75">
      <c r="B75" s="123" t="s">
        <v>53</v>
      </c>
      <c r="C75" s="40">
        <v>20</v>
      </c>
      <c r="D75" s="69"/>
      <c r="E75" s="69"/>
      <c r="F75" s="40">
        <v>1.4</v>
      </c>
      <c r="G75" s="40">
        <v>0.24</v>
      </c>
      <c r="H75" s="40">
        <v>7.8</v>
      </c>
      <c r="I75" s="87">
        <v>40</v>
      </c>
      <c r="J75" s="87"/>
      <c r="K75" s="40"/>
      <c r="L75" s="40"/>
      <c r="M75" s="67">
        <v>0</v>
      </c>
      <c r="N75" s="40">
        <v>0.04</v>
      </c>
      <c r="O75" s="107">
        <v>0</v>
      </c>
      <c r="P75" s="40">
        <v>0.28</v>
      </c>
      <c r="Q75" s="97">
        <v>5.8</v>
      </c>
      <c r="R75" s="87">
        <v>30</v>
      </c>
      <c r="S75" s="41">
        <v>9.4</v>
      </c>
      <c r="T75" s="40">
        <v>0.78</v>
      </c>
      <c r="U75" s="60">
        <v>50.08</v>
      </c>
      <c r="V75" s="34">
        <f>C75*U75/1000</f>
        <v>1.0015999999999998</v>
      </c>
    </row>
    <row r="76" spans="1:22" s="11" customFormat="1" ht="31.5">
      <c r="A76" s="270" t="s">
        <v>197</v>
      </c>
      <c r="B76" s="271"/>
      <c r="C76" s="272" t="s">
        <v>202</v>
      </c>
      <c r="D76" s="271"/>
      <c r="E76" s="273"/>
      <c r="F76" s="275">
        <f>SUM(F56+F60+F69+F71+F75)</f>
        <v>28.84</v>
      </c>
      <c r="G76" s="275">
        <f>SUM(G56+G60+G69+G71+G75)</f>
        <v>29.3</v>
      </c>
      <c r="H76" s="275">
        <f>SUM(H56+H60+H69+H71+H75)</f>
        <v>47.33</v>
      </c>
      <c r="I76" s="275">
        <f>SUM(I56+I60+I69+I71+I75)</f>
        <v>673</v>
      </c>
      <c r="J76" s="275">
        <f>SUM(J56+J60+J69+J71+J75)</f>
        <v>3.9</v>
      </c>
      <c r="K76" s="275" t="e">
        <f>SUM(K56+#REF!+K71+#REF!+K75)</f>
        <v>#REF!</v>
      </c>
      <c r="L76" s="275" t="e">
        <f>SUM(L56+#REF!+L71+#REF!+L75)</f>
        <v>#REF!</v>
      </c>
      <c r="M76" s="275" t="e">
        <f>SUM(M56+#REF!+M71+#REF!+M75)</f>
        <v>#REF!</v>
      </c>
      <c r="N76" s="275" t="e">
        <f>SUM(N56+#REF!+N71+#REF!+N75)</f>
        <v>#REF!</v>
      </c>
      <c r="O76" s="275" t="e">
        <f>SUM(O56+#REF!+O71+#REF!+O75)</f>
        <v>#REF!</v>
      </c>
      <c r="P76" s="275" t="e">
        <f>SUM(P56+#REF!+P71+#REF!+P75)</f>
        <v>#REF!</v>
      </c>
      <c r="Q76" s="275" t="e">
        <f>SUM(Q56+#REF!+Q71+#REF!+Q75)</f>
        <v>#REF!</v>
      </c>
      <c r="R76" s="275" t="e">
        <f>SUM(R56+#REF!+R71+#REF!+R75)</f>
        <v>#REF!</v>
      </c>
      <c r="S76" s="275" t="e">
        <f>SUM(S56+#REF!+S71+#REF!+S75)</f>
        <v>#REF!</v>
      </c>
      <c r="T76" s="275" t="e">
        <f>SUM(T56+#REF!+T71+#REF!+T75)</f>
        <v>#REF!</v>
      </c>
      <c r="U76" s="287"/>
      <c r="V76" s="287">
        <f>V56+V60+V69+V71+V75</f>
        <v>94.91435</v>
      </c>
    </row>
    <row r="77" spans="1:22" s="10" customFormat="1" ht="15.75">
      <c r="A77" s="264" t="s">
        <v>11</v>
      </c>
      <c r="B77" s="308"/>
      <c r="C77" s="264"/>
      <c r="D77" s="265"/>
      <c r="E77" s="266"/>
      <c r="F77" s="267"/>
      <c r="G77" s="267"/>
      <c r="H77" s="267"/>
      <c r="I77" s="267"/>
      <c r="J77" s="267"/>
      <c r="K77" s="309" t="e">
        <f>SUM(K127+K126+#REF!+#REF!+#REF!+K98+K80+#REF!)</f>
        <v>#REF!</v>
      </c>
      <c r="L77" s="309" t="e">
        <f>SUM(L127+L126+#REF!+#REF!+#REF!+L98+L80+#REF!)</f>
        <v>#REF!</v>
      </c>
      <c r="M77" s="309"/>
      <c r="N77" s="309"/>
      <c r="O77" s="309"/>
      <c r="P77" s="309"/>
      <c r="Q77" s="309"/>
      <c r="R77" s="309"/>
      <c r="S77" s="309"/>
      <c r="T77" s="309"/>
      <c r="U77" s="12"/>
      <c r="V77" s="12"/>
    </row>
    <row r="78" spans="2:22" s="11" customFormat="1" ht="15.75">
      <c r="B78" s="125" t="s">
        <v>238</v>
      </c>
      <c r="C78" s="33">
        <v>30</v>
      </c>
      <c r="D78" s="33"/>
      <c r="E78" s="33"/>
      <c r="F78" s="33">
        <v>2.2</v>
      </c>
      <c r="G78" s="33">
        <v>0.08</v>
      </c>
      <c r="H78" s="33">
        <v>2.14</v>
      </c>
      <c r="I78" s="33">
        <v>17</v>
      </c>
      <c r="J78" s="33">
        <v>0.2</v>
      </c>
      <c r="K78" s="33"/>
      <c r="L78" s="34"/>
      <c r="M78" s="34">
        <v>24</v>
      </c>
      <c r="N78" s="31">
        <v>0.08</v>
      </c>
      <c r="O78" s="34">
        <v>0</v>
      </c>
      <c r="P78" s="33">
        <v>0.09</v>
      </c>
      <c r="Q78" s="33">
        <v>10.5</v>
      </c>
      <c r="R78" s="33">
        <v>49.41</v>
      </c>
      <c r="S78" s="33">
        <v>10.25</v>
      </c>
      <c r="T78" s="33">
        <v>0.2</v>
      </c>
      <c r="U78" s="33"/>
      <c r="V78" s="34">
        <f>V79</f>
        <v>5.42662</v>
      </c>
    </row>
    <row r="79" spans="1:22" s="3" customFormat="1" ht="15.75">
      <c r="A79" s="321"/>
      <c r="B79" s="140" t="s">
        <v>221</v>
      </c>
      <c r="C79" s="33"/>
      <c r="D79" s="35">
        <v>46</v>
      </c>
      <c r="E79" s="35">
        <v>30</v>
      </c>
      <c r="F79" s="35"/>
      <c r="G79" s="35"/>
      <c r="H79" s="35"/>
      <c r="I79" s="35"/>
      <c r="J79" s="35"/>
      <c r="K79" s="35"/>
      <c r="L79" s="60"/>
      <c r="M79" s="36"/>
      <c r="N79" s="36"/>
      <c r="O79" s="36"/>
      <c r="P79" s="36"/>
      <c r="Q79" s="36"/>
      <c r="R79" s="36"/>
      <c r="S79" s="36"/>
      <c r="T79" s="36"/>
      <c r="U79" s="35">
        <v>117.97</v>
      </c>
      <c r="V79" s="60">
        <f>D79*U79/1000</f>
        <v>5.42662</v>
      </c>
    </row>
    <row r="80" spans="1:22" s="10" customFormat="1" ht="31.5">
      <c r="A80" s="43"/>
      <c r="B80" s="134" t="s">
        <v>146</v>
      </c>
      <c r="C80" s="65" t="s">
        <v>16</v>
      </c>
      <c r="D80" s="42"/>
      <c r="E80" s="314"/>
      <c r="F80" s="67">
        <v>10.2</v>
      </c>
      <c r="G80" s="68">
        <v>9.3</v>
      </c>
      <c r="H80" s="94">
        <v>24.2</v>
      </c>
      <c r="I80" s="107">
        <v>215</v>
      </c>
      <c r="J80" s="104">
        <v>2.4</v>
      </c>
      <c r="K80" s="68"/>
      <c r="L80" s="67"/>
      <c r="M80" s="286">
        <v>6.8</v>
      </c>
      <c r="N80" s="67">
        <v>0.1</v>
      </c>
      <c r="O80" s="322">
        <v>30</v>
      </c>
      <c r="P80" s="67">
        <v>0.5</v>
      </c>
      <c r="Q80" s="286">
        <v>33</v>
      </c>
      <c r="R80" s="107">
        <v>98</v>
      </c>
      <c r="S80" s="94">
        <v>25.5</v>
      </c>
      <c r="T80" s="323">
        <v>1.3</v>
      </c>
      <c r="U80" s="415"/>
      <c r="V80" s="34">
        <f>SUM(V81:V92)</f>
        <v>22.105690000000003</v>
      </c>
    </row>
    <row r="81" spans="1:22" s="12" customFormat="1" ht="15.75">
      <c r="A81" s="75"/>
      <c r="B81" s="143" t="s">
        <v>251</v>
      </c>
      <c r="C81" s="89"/>
      <c r="D81" s="90">
        <v>30.5</v>
      </c>
      <c r="E81" s="192">
        <v>29</v>
      </c>
      <c r="F81" s="324"/>
      <c r="G81" s="93"/>
      <c r="H81" s="93"/>
      <c r="I81" s="324"/>
      <c r="J81" s="93"/>
      <c r="K81" s="93"/>
      <c r="L81" s="324"/>
      <c r="M81" s="325"/>
      <c r="N81" s="324"/>
      <c r="O81" s="325"/>
      <c r="P81" s="324"/>
      <c r="Q81" s="325"/>
      <c r="R81" s="326"/>
      <c r="S81" s="93"/>
      <c r="T81" s="156"/>
      <c r="U81" s="416">
        <v>344.5</v>
      </c>
      <c r="V81" s="60">
        <f>D81*U81/1000</f>
        <v>10.50725</v>
      </c>
    </row>
    <row r="82" spans="1:22" s="12" customFormat="1" ht="15.75">
      <c r="A82" s="75"/>
      <c r="B82" s="142" t="s">
        <v>20</v>
      </c>
      <c r="C82" s="35"/>
      <c r="D82" s="35">
        <v>99</v>
      </c>
      <c r="E82" s="35">
        <v>75</v>
      </c>
      <c r="F82" s="324"/>
      <c r="G82" s="93"/>
      <c r="H82" s="93"/>
      <c r="I82" s="324"/>
      <c r="J82" s="93"/>
      <c r="K82" s="93"/>
      <c r="L82" s="324"/>
      <c r="M82" s="325"/>
      <c r="N82" s="324"/>
      <c r="O82" s="325"/>
      <c r="P82" s="324"/>
      <c r="Q82" s="325"/>
      <c r="R82" s="326"/>
      <c r="S82" s="93"/>
      <c r="T82" s="156"/>
      <c r="U82" s="416">
        <v>50.25</v>
      </c>
      <c r="V82" s="60">
        <f aca="true" t="shared" si="5" ref="V82:V92">D82*U82/1000</f>
        <v>4.97475</v>
      </c>
    </row>
    <row r="83" spans="1:22" s="12" customFormat="1" ht="15.75">
      <c r="A83" s="75"/>
      <c r="B83" s="140" t="s">
        <v>130</v>
      </c>
      <c r="C83" s="35"/>
      <c r="D83" s="35">
        <v>108</v>
      </c>
      <c r="E83" s="35">
        <v>75</v>
      </c>
      <c r="F83" s="324"/>
      <c r="G83" s="93"/>
      <c r="H83" s="93"/>
      <c r="I83" s="324"/>
      <c r="J83" s="93"/>
      <c r="K83" s="93"/>
      <c r="L83" s="324"/>
      <c r="M83" s="325"/>
      <c r="N83" s="324"/>
      <c r="O83" s="325"/>
      <c r="P83" s="324"/>
      <c r="Q83" s="325"/>
      <c r="R83" s="326"/>
      <c r="S83" s="93"/>
      <c r="T83" s="156"/>
      <c r="U83" s="416"/>
      <c r="V83" s="60">
        <f t="shared" si="5"/>
        <v>0</v>
      </c>
    </row>
    <row r="84" spans="1:22" s="12" customFormat="1" ht="15.75">
      <c r="A84" s="75"/>
      <c r="B84" s="140" t="s">
        <v>131</v>
      </c>
      <c r="C84" s="35"/>
      <c r="D84" s="35">
        <v>114</v>
      </c>
      <c r="E84" s="35">
        <v>75</v>
      </c>
      <c r="F84" s="324"/>
      <c r="G84" s="93"/>
      <c r="H84" s="93"/>
      <c r="I84" s="324"/>
      <c r="J84" s="93"/>
      <c r="K84" s="93"/>
      <c r="L84" s="324"/>
      <c r="M84" s="325"/>
      <c r="N84" s="324"/>
      <c r="O84" s="325"/>
      <c r="P84" s="324"/>
      <c r="Q84" s="325"/>
      <c r="R84" s="326"/>
      <c r="S84" s="93"/>
      <c r="T84" s="156"/>
      <c r="U84" s="416"/>
      <c r="V84" s="60">
        <f t="shared" si="5"/>
        <v>0</v>
      </c>
    </row>
    <row r="85" spans="1:22" s="12" customFormat="1" ht="15.75">
      <c r="A85" s="75"/>
      <c r="B85" s="140" t="s">
        <v>21</v>
      </c>
      <c r="C85" s="35"/>
      <c r="D85" s="35">
        <v>123</v>
      </c>
      <c r="E85" s="35">
        <v>75</v>
      </c>
      <c r="F85" s="324"/>
      <c r="G85" s="93"/>
      <c r="H85" s="93"/>
      <c r="I85" s="324"/>
      <c r="J85" s="93"/>
      <c r="K85" s="93"/>
      <c r="L85" s="324"/>
      <c r="M85" s="325"/>
      <c r="N85" s="324"/>
      <c r="O85" s="325"/>
      <c r="P85" s="324"/>
      <c r="Q85" s="325"/>
      <c r="R85" s="326"/>
      <c r="S85" s="93"/>
      <c r="T85" s="156"/>
      <c r="U85" s="416"/>
      <c r="V85" s="60">
        <f t="shared" si="5"/>
        <v>0</v>
      </c>
    </row>
    <row r="86" spans="1:22" s="12" customFormat="1" ht="15.75">
      <c r="A86" s="75"/>
      <c r="B86" s="143" t="s">
        <v>12</v>
      </c>
      <c r="C86" s="89"/>
      <c r="D86" s="90">
        <v>10</v>
      </c>
      <c r="E86" s="192">
        <v>10</v>
      </c>
      <c r="F86" s="324"/>
      <c r="G86" s="93"/>
      <c r="H86" s="93"/>
      <c r="I86" s="324"/>
      <c r="J86" s="93"/>
      <c r="K86" s="93"/>
      <c r="L86" s="324"/>
      <c r="M86" s="325"/>
      <c r="N86" s="324"/>
      <c r="O86" s="325"/>
      <c r="P86" s="324"/>
      <c r="Q86" s="325"/>
      <c r="R86" s="326"/>
      <c r="S86" s="93"/>
      <c r="T86" s="156"/>
      <c r="U86" s="416">
        <v>134.42</v>
      </c>
      <c r="V86" s="60">
        <f t="shared" si="5"/>
        <v>1.3441999999999998</v>
      </c>
    </row>
    <row r="87" spans="1:22" s="12" customFormat="1" ht="15.75">
      <c r="A87" s="75"/>
      <c r="B87" s="188" t="s">
        <v>133</v>
      </c>
      <c r="C87" s="89"/>
      <c r="D87" s="90">
        <v>12.5</v>
      </c>
      <c r="E87" s="192">
        <v>10</v>
      </c>
      <c r="F87" s="324"/>
      <c r="G87" s="93"/>
      <c r="H87" s="93"/>
      <c r="I87" s="324"/>
      <c r="J87" s="93"/>
      <c r="K87" s="93"/>
      <c r="L87" s="324"/>
      <c r="M87" s="325"/>
      <c r="N87" s="324"/>
      <c r="O87" s="325"/>
      <c r="P87" s="324"/>
      <c r="Q87" s="325"/>
      <c r="R87" s="326"/>
      <c r="S87" s="93"/>
      <c r="T87" s="156"/>
      <c r="U87" s="416">
        <v>81.72</v>
      </c>
      <c r="V87" s="60">
        <f t="shared" si="5"/>
        <v>1.0215</v>
      </c>
    </row>
    <row r="88" spans="1:22" s="12" customFormat="1" ht="15.75">
      <c r="A88" s="75"/>
      <c r="B88" s="188" t="s">
        <v>104</v>
      </c>
      <c r="C88" s="89"/>
      <c r="D88" s="90">
        <v>13</v>
      </c>
      <c r="E88" s="192">
        <v>10</v>
      </c>
      <c r="F88" s="324"/>
      <c r="G88" s="93"/>
      <c r="H88" s="93"/>
      <c r="I88" s="324"/>
      <c r="J88" s="93"/>
      <c r="K88" s="93"/>
      <c r="L88" s="324"/>
      <c r="M88" s="325"/>
      <c r="N88" s="324"/>
      <c r="O88" s="325"/>
      <c r="P88" s="324"/>
      <c r="Q88" s="325"/>
      <c r="R88" s="326"/>
      <c r="S88" s="93"/>
      <c r="T88" s="156"/>
      <c r="U88" s="416"/>
      <c r="V88" s="60">
        <f t="shared" si="5"/>
        <v>0</v>
      </c>
    </row>
    <row r="89" spans="1:22" s="12" customFormat="1" ht="15.75">
      <c r="A89" s="75"/>
      <c r="B89" s="188" t="s">
        <v>58</v>
      </c>
      <c r="C89" s="89"/>
      <c r="D89" s="90">
        <v>5</v>
      </c>
      <c r="E89" s="192">
        <v>5</v>
      </c>
      <c r="F89" s="324"/>
      <c r="G89" s="93"/>
      <c r="H89" s="93"/>
      <c r="I89" s="324"/>
      <c r="J89" s="93"/>
      <c r="K89" s="93"/>
      <c r="L89" s="324"/>
      <c r="M89" s="325"/>
      <c r="N89" s="324"/>
      <c r="O89" s="325"/>
      <c r="P89" s="324"/>
      <c r="Q89" s="325"/>
      <c r="R89" s="326"/>
      <c r="S89" s="93"/>
      <c r="T89" s="156"/>
      <c r="U89" s="416">
        <v>653.09</v>
      </c>
      <c r="V89" s="60">
        <f t="shared" si="5"/>
        <v>3.2654500000000004</v>
      </c>
    </row>
    <row r="90" spans="1:22" s="12" customFormat="1" ht="15.75">
      <c r="A90" s="75"/>
      <c r="B90" s="188" t="s">
        <v>135</v>
      </c>
      <c r="C90" s="89"/>
      <c r="D90" s="90">
        <v>190</v>
      </c>
      <c r="E90" s="192">
        <v>190</v>
      </c>
      <c r="F90" s="324"/>
      <c r="G90" s="93"/>
      <c r="H90" s="93"/>
      <c r="I90" s="324"/>
      <c r="J90" s="93"/>
      <c r="K90" s="93"/>
      <c r="L90" s="324"/>
      <c r="M90" s="325"/>
      <c r="N90" s="324"/>
      <c r="O90" s="325"/>
      <c r="P90" s="324"/>
      <c r="Q90" s="325"/>
      <c r="R90" s="326"/>
      <c r="S90" s="93"/>
      <c r="T90" s="156"/>
      <c r="U90" s="416"/>
      <c r="V90" s="60">
        <f t="shared" si="5"/>
        <v>0</v>
      </c>
    </row>
    <row r="91" spans="1:22" s="12" customFormat="1" ht="15.75">
      <c r="A91" s="75"/>
      <c r="B91" s="188" t="s">
        <v>55</v>
      </c>
      <c r="C91" s="89"/>
      <c r="D91" s="90">
        <v>12</v>
      </c>
      <c r="E91" s="192">
        <v>10</v>
      </c>
      <c r="F91" s="324"/>
      <c r="G91" s="93"/>
      <c r="H91" s="93"/>
      <c r="I91" s="324"/>
      <c r="J91" s="93"/>
      <c r="K91" s="93"/>
      <c r="L91" s="324"/>
      <c r="M91" s="325"/>
      <c r="N91" s="324"/>
      <c r="O91" s="325"/>
      <c r="P91" s="324"/>
      <c r="Q91" s="325"/>
      <c r="R91" s="326"/>
      <c r="S91" s="93"/>
      <c r="T91" s="156"/>
      <c r="U91" s="416">
        <v>81.72</v>
      </c>
      <c r="V91" s="60">
        <f t="shared" si="5"/>
        <v>0.98064</v>
      </c>
    </row>
    <row r="92" spans="1:22" s="12" customFormat="1" ht="15.75">
      <c r="A92" s="75"/>
      <c r="B92" s="188" t="s">
        <v>14</v>
      </c>
      <c r="C92" s="89"/>
      <c r="D92" s="90">
        <v>1</v>
      </c>
      <c r="E92" s="192">
        <v>1</v>
      </c>
      <c r="F92" s="156"/>
      <c r="G92" s="310"/>
      <c r="H92" s="310"/>
      <c r="I92" s="156"/>
      <c r="J92" s="310"/>
      <c r="K92" s="310"/>
      <c r="L92" s="156"/>
      <c r="M92" s="327"/>
      <c r="N92" s="156"/>
      <c r="O92" s="327"/>
      <c r="P92" s="156"/>
      <c r="Q92" s="327"/>
      <c r="R92" s="190"/>
      <c r="S92" s="310"/>
      <c r="T92" s="156"/>
      <c r="U92" s="417">
        <v>11.9</v>
      </c>
      <c r="V92" s="60">
        <f t="shared" si="5"/>
        <v>0.0119</v>
      </c>
    </row>
    <row r="93" spans="2:22" s="75" customFormat="1" ht="31.5">
      <c r="B93" s="146" t="s">
        <v>141</v>
      </c>
      <c r="C93" s="40">
        <v>230</v>
      </c>
      <c r="D93" s="40"/>
      <c r="E93" s="40"/>
      <c r="F93" s="41">
        <v>16.2</v>
      </c>
      <c r="G93" s="40">
        <v>15.6</v>
      </c>
      <c r="H93" s="41">
        <v>8.2</v>
      </c>
      <c r="I93" s="40">
        <v>339</v>
      </c>
      <c r="J93" s="40">
        <v>0.8</v>
      </c>
      <c r="K93" s="40"/>
      <c r="L93" s="41"/>
      <c r="M93" s="42">
        <v>8.1</v>
      </c>
      <c r="N93" s="40">
        <v>0.07</v>
      </c>
      <c r="O93" s="107">
        <v>0</v>
      </c>
      <c r="P93" s="40">
        <v>5.7</v>
      </c>
      <c r="Q93" s="97">
        <v>77</v>
      </c>
      <c r="R93" s="74">
        <v>222</v>
      </c>
      <c r="S93" s="40">
        <v>26.8</v>
      </c>
      <c r="T93" s="40">
        <v>2.8</v>
      </c>
      <c r="U93" s="33"/>
      <c r="V93" s="34">
        <f>SUM(V94:V101)</f>
        <v>45.02942999999999</v>
      </c>
    </row>
    <row r="94" spans="1:22" s="6" customFormat="1" ht="15.75">
      <c r="A94" s="70"/>
      <c r="B94" s="157" t="s">
        <v>2</v>
      </c>
      <c r="C94" s="40"/>
      <c r="D94" s="69">
        <v>250</v>
      </c>
      <c r="E94" s="69">
        <v>200</v>
      </c>
      <c r="F94" s="71"/>
      <c r="G94" s="71"/>
      <c r="H94" s="71"/>
      <c r="I94" s="71"/>
      <c r="J94" s="71"/>
      <c r="K94" s="69"/>
      <c r="L94" s="69"/>
      <c r="M94" s="71"/>
      <c r="N94" s="71"/>
      <c r="O94" s="152"/>
      <c r="P94" s="71"/>
      <c r="Q94" s="153"/>
      <c r="R94" s="153"/>
      <c r="S94" s="71"/>
      <c r="T94" s="71"/>
      <c r="U94" s="35">
        <v>39.19</v>
      </c>
      <c r="V94" s="60">
        <f>D94*U94/1000</f>
        <v>9.7975</v>
      </c>
    </row>
    <row r="95" spans="1:22" s="6" customFormat="1" ht="15.75">
      <c r="A95" s="70"/>
      <c r="B95" s="157" t="s">
        <v>8</v>
      </c>
      <c r="C95" s="40"/>
      <c r="D95" s="69">
        <v>29</v>
      </c>
      <c r="E95" s="69">
        <v>23</v>
      </c>
      <c r="F95" s="71"/>
      <c r="G95" s="71"/>
      <c r="H95" s="71"/>
      <c r="I95" s="71"/>
      <c r="J95" s="71"/>
      <c r="K95" s="69"/>
      <c r="L95" s="69"/>
      <c r="M95" s="71"/>
      <c r="N95" s="71"/>
      <c r="O95" s="152"/>
      <c r="P95" s="71"/>
      <c r="Q95" s="153"/>
      <c r="R95" s="153"/>
      <c r="S95" s="71"/>
      <c r="T95" s="71"/>
      <c r="U95" s="35">
        <v>81.72</v>
      </c>
      <c r="V95" s="60">
        <f aca="true" t="shared" si="6" ref="V95:V101">D95*U95/1000</f>
        <v>2.36988</v>
      </c>
    </row>
    <row r="96" spans="1:22" s="6" customFormat="1" ht="15.75">
      <c r="A96" s="70"/>
      <c r="B96" s="157" t="s">
        <v>104</v>
      </c>
      <c r="C96" s="40"/>
      <c r="D96" s="69">
        <v>31</v>
      </c>
      <c r="E96" s="69">
        <v>23</v>
      </c>
      <c r="F96" s="71"/>
      <c r="G96" s="71"/>
      <c r="H96" s="71"/>
      <c r="I96" s="71"/>
      <c r="J96" s="71"/>
      <c r="K96" s="69"/>
      <c r="L96" s="69"/>
      <c r="M96" s="71"/>
      <c r="N96" s="71"/>
      <c r="O96" s="152"/>
      <c r="P96" s="71"/>
      <c r="Q96" s="153"/>
      <c r="R96" s="153"/>
      <c r="S96" s="71"/>
      <c r="T96" s="71"/>
      <c r="U96" s="35"/>
      <c r="V96" s="60">
        <f t="shared" si="6"/>
        <v>0</v>
      </c>
    </row>
    <row r="97" spans="1:22" s="6" customFormat="1" ht="15.75">
      <c r="A97" s="70"/>
      <c r="B97" s="154" t="s">
        <v>55</v>
      </c>
      <c r="C97" s="40"/>
      <c r="D97" s="69">
        <v>17</v>
      </c>
      <c r="E97" s="69">
        <v>14</v>
      </c>
      <c r="F97" s="71"/>
      <c r="G97" s="71"/>
      <c r="H97" s="71"/>
      <c r="I97" s="71"/>
      <c r="J97" s="71"/>
      <c r="K97" s="69"/>
      <c r="L97" s="69"/>
      <c r="M97" s="71"/>
      <c r="N97" s="71"/>
      <c r="O97" s="152"/>
      <c r="P97" s="71"/>
      <c r="Q97" s="153"/>
      <c r="R97" s="153"/>
      <c r="S97" s="71"/>
      <c r="T97" s="71"/>
      <c r="U97" s="35">
        <v>32.75</v>
      </c>
      <c r="V97" s="60">
        <f t="shared" si="6"/>
        <v>0.55675</v>
      </c>
    </row>
    <row r="98" spans="1:22" s="6" customFormat="1" ht="15.75">
      <c r="A98" s="70"/>
      <c r="B98" s="157" t="s">
        <v>250</v>
      </c>
      <c r="C98" s="40"/>
      <c r="D98" s="69">
        <v>2.8</v>
      </c>
      <c r="E98" s="69">
        <v>2.8</v>
      </c>
      <c r="F98" s="71"/>
      <c r="G98" s="71"/>
      <c r="H98" s="71"/>
      <c r="I98" s="71"/>
      <c r="J98" s="71"/>
      <c r="K98" s="69"/>
      <c r="L98" s="86"/>
      <c r="M98" s="71"/>
      <c r="N98" s="71"/>
      <c r="O98" s="152"/>
      <c r="P98" s="71"/>
      <c r="Q98" s="153"/>
      <c r="R98" s="153"/>
      <c r="S98" s="71"/>
      <c r="T98" s="71"/>
      <c r="U98" s="35">
        <v>264</v>
      </c>
      <c r="V98" s="60">
        <f t="shared" si="6"/>
        <v>0.7392</v>
      </c>
    </row>
    <row r="99" spans="1:22" s="6" customFormat="1" ht="15.75">
      <c r="A99" s="70"/>
      <c r="B99" s="157" t="s">
        <v>35</v>
      </c>
      <c r="C99" s="40"/>
      <c r="D99" s="69">
        <v>70</v>
      </c>
      <c r="E99" s="69">
        <v>70</v>
      </c>
      <c r="F99" s="71"/>
      <c r="G99" s="71"/>
      <c r="H99" s="71"/>
      <c r="I99" s="71"/>
      <c r="J99" s="71"/>
      <c r="K99" s="69"/>
      <c r="L99" s="86"/>
      <c r="M99" s="71"/>
      <c r="N99" s="71"/>
      <c r="O99" s="152"/>
      <c r="P99" s="71"/>
      <c r="Q99" s="153"/>
      <c r="R99" s="153"/>
      <c r="S99" s="71"/>
      <c r="T99" s="71"/>
      <c r="U99" s="35">
        <v>440</v>
      </c>
      <c r="V99" s="60">
        <f t="shared" si="6"/>
        <v>30.8</v>
      </c>
    </row>
    <row r="100" spans="1:22" s="6" customFormat="1" ht="15.75">
      <c r="A100" s="70"/>
      <c r="B100" s="154" t="s">
        <v>57</v>
      </c>
      <c r="C100" s="40"/>
      <c r="D100" s="69">
        <v>6</v>
      </c>
      <c r="E100" s="69">
        <v>6</v>
      </c>
      <c r="F100" s="71"/>
      <c r="G100" s="71"/>
      <c r="H100" s="71"/>
      <c r="I100" s="71"/>
      <c r="J100" s="71"/>
      <c r="K100" s="69"/>
      <c r="L100" s="86"/>
      <c r="M100" s="71"/>
      <c r="N100" s="71"/>
      <c r="O100" s="152"/>
      <c r="P100" s="71"/>
      <c r="Q100" s="153"/>
      <c r="R100" s="153"/>
      <c r="S100" s="71"/>
      <c r="T100" s="71"/>
      <c r="U100" s="35">
        <v>125.7</v>
      </c>
      <c r="V100" s="60">
        <f t="shared" si="6"/>
        <v>0.7542000000000001</v>
      </c>
    </row>
    <row r="101" spans="1:22" s="6" customFormat="1" ht="15.75">
      <c r="A101" s="70"/>
      <c r="B101" s="154" t="s">
        <v>14</v>
      </c>
      <c r="C101" s="40"/>
      <c r="D101" s="69">
        <v>1</v>
      </c>
      <c r="E101" s="69">
        <v>1</v>
      </c>
      <c r="F101" s="71"/>
      <c r="G101" s="71"/>
      <c r="H101" s="71"/>
      <c r="I101" s="71"/>
      <c r="J101" s="71"/>
      <c r="K101" s="69"/>
      <c r="L101" s="86"/>
      <c r="M101" s="71"/>
      <c r="N101" s="71"/>
      <c r="O101" s="152"/>
      <c r="P101" s="71"/>
      <c r="Q101" s="153"/>
      <c r="R101" s="153"/>
      <c r="S101" s="71"/>
      <c r="T101" s="71"/>
      <c r="U101" s="35">
        <v>11.9</v>
      </c>
      <c r="V101" s="60">
        <f t="shared" si="6"/>
        <v>0.0119</v>
      </c>
    </row>
    <row r="102" spans="2:22" s="43" customFormat="1" ht="47.25">
      <c r="B102" s="122" t="s">
        <v>114</v>
      </c>
      <c r="C102" s="40">
        <v>130</v>
      </c>
      <c r="D102" s="40"/>
      <c r="E102" s="40"/>
      <c r="F102" s="40">
        <v>0.26</v>
      </c>
      <c r="G102" s="41">
        <v>0.17</v>
      </c>
      <c r="H102" s="40">
        <v>13.81</v>
      </c>
      <c r="I102" s="40">
        <v>52</v>
      </c>
      <c r="J102" s="40">
        <v>1.4</v>
      </c>
      <c r="K102" s="40"/>
      <c r="L102" s="40"/>
      <c r="M102" s="74">
        <v>16</v>
      </c>
      <c r="N102" s="40">
        <v>0.02</v>
      </c>
      <c r="O102" s="87">
        <v>0</v>
      </c>
      <c r="P102" s="40">
        <v>0.17</v>
      </c>
      <c r="Q102" s="74">
        <v>2.97</v>
      </c>
      <c r="R102" s="74">
        <v>9.6</v>
      </c>
      <c r="S102" s="41">
        <v>2.08</v>
      </c>
      <c r="T102" s="40">
        <v>0.16</v>
      </c>
      <c r="U102" s="33">
        <v>213.43</v>
      </c>
      <c r="V102" s="34">
        <f>C102*U102/1000</f>
        <v>27.745900000000002</v>
      </c>
    </row>
    <row r="103" spans="2:22" s="43" customFormat="1" ht="31.5">
      <c r="B103" s="146" t="s">
        <v>145</v>
      </c>
      <c r="C103" s="40">
        <v>200</v>
      </c>
      <c r="D103" s="40"/>
      <c r="E103" s="40"/>
      <c r="F103" s="41">
        <v>0.2</v>
      </c>
      <c r="G103" s="41">
        <v>0.1</v>
      </c>
      <c r="H103" s="74">
        <v>9</v>
      </c>
      <c r="I103" s="40">
        <v>77</v>
      </c>
      <c r="J103" s="40">
        <v>0.9</v>
      </c>
      <c r="K103" s="40"/>
      <c r="L103" s="41"/>
      <c r="M103" s="40">
        <v>60</v>
      </c>
      <c r="N103" s="40">
        <v>0.01</v>
      </c>
      <c r="O103" s="107">
        <v>0</v>
      </c>
      <c r="P103" s="40">
        <v>0.57</v>
      </c>
      <c r="Q103" s="97">
        <v>9.08</v>
      </c>
      <c r="R103" s="74">
        <v>2.37</v>
      </c>
      <c r="S103" s="40">
        <v>2.42</v>
      </c>
      <c r="T103" s="40">
        <v>0.47</v>
      </c>
      <c r="U103" s="33"/>
      <c r="V103" s="34">
        <f>SUM(V104:V106)</f>
        <v>6.7628</v>
      </c>
    </row>
    <row r="104" spans="1:22" s="6" customFormat="1" ht="15.75">
      <c r="A104" s="70"/>
      <c r="B104" s="157" t="s">
        <v>99</v>
      </c>
      <c r="C104" s="40"/>
      <c r="D104" s="69">
        <v>25</v>
      </c>
      <c r="E104" s="69">
        <v>25</v>
      </c>
      <c r="F104" s="71"/>
      <c r="G104" s="71"/>
      <c r="H104" s="71"/>
      <c r="I104" s="71"/>
      <c r="J104" s="71"/>
      <c r="K104" s="69"/>
      <c r="L104" s="86"/>
      <c r="M104" s="71"/>
      <c r="N104" s="71"/>
      <c r="O104" s="152"/>
      <c r="P104" s="71"/>
      <c r="Q104" s="153"/>
      <c r="R104" s="153"/>
      <c r="S104" s="71"/>
      <c r="T104" s="71"/>
      <c r="U104" s="35">
        <v>265.5</v>
      </c>
      <c r="V104" s="60">
        <f>D104*U104/1000</f>
        <v>6.6375</v>
      </c>
    </row>
    <row r="105" spans="1:22" s="6" customFormat="1" ht="15.75">
      <c r="A105" s="70"/>
      <c r="B105" s="154" t="s">
        <v>54</v>
      </c>
      <c r="C105" s="40"/>
      <c r="D105" s="69">
        <v>200</v>
      </c>
      <c r="E105" s="69">
        <v>200</v>
      </c>
      <c r="F105" s="71"/>
      <c r="G105" s="71"/>
      <c r="H105" s="71"/>
      <c r="I105" s="71"/>
      <c r="J105" s="71"/>
      <c r="K105" s="69"/>
      <c r="L105" s="69"/>
      <c r="M105" s="71"/>
      <c r="N105" s="71"/>
      <c r="O105" s="152"/>
      <c r="P105" s="71"/>
      <c r="Q105" s="153"/>
      <c r="R105" s="153"/>
      <c r="S105" s="71"/>
      <c r="T105" s="71"/>
      <c r="U105" s="35"/>
      <c r="V105" s="60">
        <f>D105*U105/1000</f>
        <v>0</v>
      </c>
    </row>
    <row r="106" spans="1:22" s="6" customFormat="1" ht="15.75">
      <c r="A106" s="70"/>
      <c r="B106" s="154" t="s">
        <v>111</v>
      </c>
      <c r="C106" s="40"/>
      <c r="D106" s="69">
        <v>0.07</v>
      </c>
      <c r="E106" s="69">
        <v>0.07</v>
      </c>
      <c r="F106" s="71"/>
      <c r="G106" s="71"/>
      <c r="H106" s="71"/>
      <c r="I106" s="71"/>
      <c r="J106" s="71"/>
      <c r="K106" s="69"/>
      <c r="L106" s="69"/>
      <c r="M106" s="71"/>
      <c r="N106" s="71"/>
      <c r="O106" s="152"/>
      <c r="P106" s="71"/>
      <c r="Q106" s="153"/>
      <c r="R106" s="153"/>
      <c r="S106" s="71"/>
      <c r="T106" s="71"/>
      <c r="U106" s="35">
        <v>1790</v>
      </c>
      <c r="V106" s="60">
        <f>D106*U106/1000</f>
        <v>0.12530000000000002</v>
      </c>
    </row>
    <row r="107" spans="2:22" s="70" customFormat="1" ht="15.75">
      <c r="B107" s="123" t="s">
        <v>53</v>
      </c>
      <c r="C107" s="40">
        <v>40</v>
      </c>
      <c r="D107" s="69"/>
      <c r="E107" s="69"/>
      <c r="F107" s="40">
        <v>2.8</v>
      </c>
      <c r="G107" s="40">
        <v>0.48</v>
      </c>
      <c r="H107" s="40">
        <v>15.6</v>
      </c>
      <c r="I107" s="87">
        <v>80</v>
      </c>
      <c r="J107" s="74">
        <v>1.5</v>
      </c>
      <c r="K107" s="40"/>
      <c r="L107" s="40"/>
      <c r="M107" s="67">
        <v>0</v>
      </c>
      <c r="N107" s="40">
        <v>0.04</v>
      </c>
      <c r="O107" s="107">
        <v>0</v>
      </c>
      <c r="P107" s="40">
        <v>0.28</v>
      </c>
      <c r="Q107" s="97">
        <v>5.8</v>
      </c>
      <c r="R107" s="87">
        <v>30</v>
      </c>
      <c r="S107" s="41">
        <v>9.4</v>
      </c>
      <c r="T107" s="40">
        <v>0.78</v>
      </c>
      <c r="U107" s="35">
        <v>50.08</v>
      </c>
      <c r="V107" s="34">
        <f>C107*U107/1000</f>
        <v>2.0031999999999996</v>
      </c>
    </row>
    <row r="108" spans="1:22" s="7" customFormat="1" ht="31.5">
      <c r="A108" s="276" t="s">
        <v>198</v>
      </c>
      <c r="B108" s="317"/>
      <c r="C108" s="277">
        <v>870</v>
      </c>
      <c r="D108" s="277"/>
      <c r="E108" s="278"/>
      <c r="F108" s="413">
        <f aca="true" t="shared" si="7" ref="F108:T108">F78+F80+F93+F102+F103+F107</f>
        <v>31.86</v>
      </c>
      <c r="G108" s="413">
        <f t="shared" si="7"/>
        <v>25.730000000000004</v>
      </c>
      <c r="H108" s="413">
        <f t="shared" si="7"/>
        <v>72.95</v>
      </c>
      <c r="I108" s="413">
        <f t="shared" si="7"/>
        <v>780</v>
      </c>
      <c r="J108" s="413">
        <f t="shared" si="7"/>
        <v>7.200000000000001</v>
      </c>
      <c r="K108" s="413">
        <f t="shared" si="7"/>
        <v>0</v>
      </c>
      <c r="L108" s="413">
        <f t="shared" si="7"/>
        <v>0</v>
      </c>
      <c r="M108" s="413">
        <f t="shared" si="7"/>
        <v>114.9</v>
      </c>
      <c r="N108" s="413">
        <f t="shared" si="7"/>
        <v>0.32</v>
      </c>
      <c r="O108" s="413">
        <f t="shared" si="7"/>
        <v>30</v>
      </c>
      <c r="P108" s="413">
        <f t="shared" si="7"/>
        <v>7.3100000000000005</v>
      </c>
      <c r="Q108" s="413">
        <f t="shared" si="7"/>
        <v>138.35000000000002</v>
      </c>
      <c r="R108" s="413">
        <f t="shared" si="7"/>
        <v>411.38</v>
      </c>
      <c r="S108" s="413">
        <f t="shared" si="7"/>
        <v>76.45</v>
      </c>
      <c r="T108" s="413">
        <f t="shared" si="7"/>
        <v>5.71</v>
      </c>
      <c r="U108" s="413"/>
      <c r="V108" s="413">
        <f>V78+V80+V93+V102+V103+V107</f>
        <v>109.07363999999998</v>
      </c>
    </row>
    <row r="109" spans="1:22" s="10" customFormat="1" ht="31.5">
      <c r="A109" s="280" t="s">
        <v>199</v>
      </c>
      <c r="B109" s="318"/>
      <c r="C109" s="281" t="s">
        <v>203</v>
      </c>
      <c r="D109" s="282"/>
      <c r="E109" s="282"/>
      <c r="F109" s="414">
        <f aca="true" t="shared" si="8" ref="F109:T109">F76+F108</f>
        <v>60.7</v>
      </c>
      <c r="G109" s="414">
        <f t="shared" si="8"/>
        <v>55.03</v>
      </c>
      <c r="H109" s="414">
        <f t="shared" si="8"/>
        <v>120.28</v>
      </c>
      <c r="I109" s="414">
        <f t="shared" si="8"/>
        <v>1453</v>
      </c>
      <c r="J109" s="414">
        <f t="shared" si="8"/>
        <v>11.100000000000001</v>
      </c>
      <c r="K109" s="414" t="e">
        <f t="shared" si="8"/>
        <v>#REF!</v>
      </c>
      <c r="L109" s="414" t="e">
        <f t="shared" si="8"/>
        <v>#REF!</v>
      </c>
      <c r="M109" s="414" t="e">
        <f t="shared" si="8"/>
        <v>#REF!</v>
      </c>
      <c r="N109" s="414" t="e">
        <f t="shared" si="8"/>
        <v>#REF!</v>
      </c>
      <c r="O109" s="414" t="e">
        <f t="shared" si="8"/>
        <v>#REF!</v>
      </c>
      <c r="P109" s="414" t="e">
        <f t="shared" si="8"/>
        <v>#REF!</v>
      </c>
      <c r="Q109" s="414" t="e">
        <f t="shared" si="8"/>
        <v>#REF!</v>
      </c>
      <c r="R109" s="414" t="e">
        <f t="shared" si="8"/>
        <v>#REF!</v>
      </c>
      <c r="S109" s="414" t="e">
        <f t="shared" si="8"/>
        <v>#REF!</v>
      </c>
      <c r="T109" s="414" t="e">
        <f t="shared" si="8"/>
        <v>#REF!</v>
      </c>
      <c r="U109" s="414"/>
      <c r="V109" s="414">
        <f>V76+V108</f>
        <v>203.98798999999997</v>
      </c>
    </row>
    <row r="110" spans="1:22" s="6" customFormat="1" ht="15.75">
      <c r="A110" s="258" t="s">
        <v>204</v>
      </c>
      <c r="B110" s="259"/>
      <c r="C110" s="260"/>
      <c r="D110" s="261"/>
      <c r="E110" s="258"/>
      <c r="F110" s="262"/>
      <c r="G110" s="263"/>
      <c r="H110" s="263"/>
      <c r="I110" s="263"/>
      <c r="J110" s="263"/>
      <c r="K110" s="302"/>
      <c r="L110" s="303"/>
      <c r="M110" s="306"/>
      <c r="N110" s="306"/>
      <c r="O110" s="306"/>
      <c r="P110" s="306"/>
      <c r="Q110" s="306"/>
      <c r="R110" s="306"/>
      <c r="S110" s="306"/>
      <c r="T110" s="307"/>
      <c r="U110" s="45"/>
      <c r="V110" s="45"/>
    </row>
    <row r="111" spans="1:22" s="10" customFormat="1" ht="15.75">
      <c r="A111" s="264" t="s">
        <v>52</v>
      </c>
      <c r="B111" s="308"/>
      <c r="C111" s="264"/>
      <c r="D111" s="265"/>
      <c r="E111" s="266"/>
      <c r="F111" s="267"/>
      <c r="G111" s="267"/>
      <c r="H111" s="267"/>
      <c r="I111" s="267"/>
      <c r="J111" s="267"/>
      <c r="K111" s="309"/>
      <c r="L111" s="309" t="e">
        <f>SUM(#REF!+#REF!+#REF!+#REF!+#REF!+#REF!)</f>
        <v>#REF!</v>
      </c>
      <c r="M111" s="309"/>
      <c r="N111" s="309"/>
      <c r="O111" s="309"/>
      <c r="P111" s="309"/>
      <c r="Q111" s="309"/>
      <c r="R111" s="309"/>
      <c r="S111" s="309"/>
      <c r="T111" s="309"/>
      <c r="U111" s="45"/>
      <c r="V111" s="45"/>
    </row>
    <row r="112" spans="1:22" s="10" customFormat="1" ht="15.75">
      <c r="A112" s="43"/>
      <c r="B112" s="134" t="s">
        <v>43</v>
      </c>
      <c r="C112" s="72" t="s">
        <v>44</v>
      </c>
      <c r="D112" s="42"/>
      <c r="E112" s="66"/>
      <c r="F112" s="67">
        <v>3.2</v>
      </c>
      <c r="G112" s="68">
        <v>6.5</v>
      </c>
      <c r="H112" s="94">
        <v>9.3</v>
      </c>
      <c r="I112" s="104">
        <v>136</v>
      </c>
      <c r="J112" s="94">
        <v>0.9</v>
      </c>
      <c r="K112" s="53"/>
      <c r="L112" s="53"/>
      <c r="M112" s="53">
        <v>0.1</v>
      </c>
      <c r="N112" s="53">
        <v>0.04</v>
      </c>
      <c r="O112" s="103">
        <v>20</v>
      </c>
      <c r="P112" s="53">
        <v>0.39</v>
      </c>
      <c r="Q112" s="53">
        <v>10</v>
      </c>
      <c r="R112" s="117">
        <v>22.8</v>
      </c>
      <c r="S112" s="53">
        <v>5.6</v>
      </c>
      <c r="T112" s="53">
        <v>20</v>
      </c>
      <c r="U112" s="53"/>
      <c r="V112" s="53">
        <f>SUM(V113:V114)</f>
        <v>8.0333</v>
      </c>
    </row>
    <row r="113" spans="1:22" s="12" customFormat="1" ht="15.75">
      <c r="A113" s="75"/>
      <c r="B113" s="143" t="s">
        <v>53</v>
      </c>
      <c r="C113" s="89"/>
      <c r="D113" s="90">
        <v>30</v>
      </c>
      <c r="E113" s="91">
        <v>30</v>
      </c>
      <c r="F113" s="156"/>
      <c r="G113" s="310"/>
      <c r="H113" s="310"/>
      <c r="I113" s="310"/>
      <c r="J113" s="310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>
        <v>50.08</v>
      </c>
      <c r="V113" s="51">
        <f>D113*U113/1000</f>
        <v>1.5024</v>
      </c>
    </row>
    <row r="114" spans="1:22" s="12" customFormat="1" ht="15.75">
      <c r="A114" s="75"/>
      <c r="B114" s="188" t="s">
        <v>58</v>
      </c>
      <c r="C114" s="89"/>
      <c r="D114" s="90">
        <v>10</v>
      </c>
      <c r="E114" s="91">
        <v>10</v>
      </c>
      <c r="F114" s="156"/>
      <c r="G114" s="310"/>
      <c r="H114" s="310"/>
      <c r="I114" s="310"/>
      <c r="J114" s="310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>
        <v>653.09</v>
      </c>
      <c r="V114" s="51">
        <f>D114*U114/1000</f>
        <v>6.530900000000001</v>
      </c>
    </row>
    <row r="115" spans="1:22" s="12" customFormat="1" ht="15.75">
      <c r="A115" s="75"/>
      <c r="B115" s="147" t="s">
        <v>239</v>
      </c>
      <c r="C115" s="33">
        <v>180</v>
      </c>
      <c r="D115" s="33"/>
      <c r="E115" s="33"/>
      <c r="F115" s="33">
        <v>7.9</v>
      </c>
      <c r="G115" s="33">
        <v>10.25</v>
      </c>
      <c r="H115" s="33">
        <v>14</v>
      </c>
      <c r="I115" s="33">
        <v>266</v>
      </c>
      <c r="J115" s="33">
        <v>1.4</v>
      </c>
      <c r="K115" s="33"/>
      <c r="L115" s="34"/>
      <c r="M115" s="33">
        <v>0.8</v>
      </c>
      <c r="N115" s="33">
        <v>0.15</v>
      </c>
      <c r="O115" s="33">
        <v>104</v>
      </c>
      <c r="P115" s="33">
        <v>0.8</v>
      </c>
      <c r="Q115" s="38">
        <v>398</v>
      </c>
      <c r="R115" s="79">
        <v>392</v>
      </c>
      <c r="S115" s="33">
        <v>37.78</v>
      </c>
      <c r="T115" s="33">
        <v>2.46</v>
      </c>
      <c r="U115" s="34"/>
      <c r="V115" s="53">
        <f>SUM(V116:V122)</f>
        <v>58.127567</v>
      </c>
    </row>
    <row r="116" spans="2:22" s="26" customFormat="1" ht="15.75">
      <c r="B116" s="126" t="s">
        <v>88</v>
      </c>
      <c r="C116" s="24"/>
      <c r="D116" s="32">
        <v>150.2</v>
      </c>
      <c r="E116" s="32">
        <v>148.3</v>
      </c>
      <c r="F116" s="24"/>
      <c r="G116" s="24"/>
      <c r="H116" s="24"/>
      <c r="I116" s="24"/>
      <c r="J116" s="24"/>
      <c r="K116" s="32"/>
      <c r="L116" s="39"/>
      <c r="M116" s="24"/>
      <c r="N116" s="24"/>
      <c r="O116" s="24"/>
      <c r="P116" s="24"/>
      <c r="Q116" s="102"/>
      <c r="R116" s="102"/>
      <c r="S116" s="24"/>
      <c r="T116" s="24"/>
      <c r="U116" s="39">
        <v>311.82</v>
      </c>
      <c r="V116" s="51">
        <f>D116*U116/1000</f>
        <v>46.83536399999999</v>
      </c>
    </row>
    <row r="117" spans="1:22" s="45" customFormat="1" ht="15.75">
      <c r="A117" s="315"/>
      <c r="B117" s="126" t="s">
        <v>3</v>
      </c>
      <c r="C117" s="24"/>
      <c r="D117" s="32">
        <v>14</v>
      </c>
      <c r="E117" s="32">
        <v>14</v>
      </c>
      <c r="F117" s="24"/>
      <c r="G117" s="24"/>
      <c r="H117" s="24"/>
      <c r="I117" s="24"/>
      <c r="J117" s="24"/>
      <c r="K117" s="32"/>
      <c r="L117" s="39"/>
      <c r="M117" s="24"/>
      <c r="N117" s="24"/>
      <c r="O117" s="24"/>
      <c r="P117" s="24"/>
      <c r="Q117" s="102"/>
      <c r="R117" s="102"/>
      <c r="S117" s="24"/>
      <c r="T117" s="24"/>
      <c r="U117" s="39">
        <v>72</v>
      </c>
      <c r="V117" s="51">
        <f>D117*U117/1000</f>
        <v>1.008</v>
      </c>
    </row>
    <row r="118" spans="1:22" s="45" customFormat="1" ht="15.75">
      <c r="A118" s="315"/>
      <c r="B118" s="126" t="s">
        <v>89</v>
      </c>
      <c r="C118" s="24"/>
      <c r="D118" s="32">
        <v>7.2</v>
      </c>
      <c r="E118" s="32">
        <v>7.2</v>
      </c>
      <c r="F118" s="24"/>
      <c r="G118" s="24"/>
      <c r="H118" s="24"/>
      <c r="I118" s="24"/>
      <c r="J118" s="24"/>
      <c r="K118" s="32"/>
      <c r="L118" s="39"/>
      <c r="M118" s="24"/>
      <c r="N118" s="24"/>
      <c r="O118" s="24"/>
      <c r="P118" s="24"/>
      <c r="Q118" s="102"/>
      <c r="R118" s="102"/>
      <c r="S118" s="24"/>
      <c r="T118" s="24"/>
      <c r="U118" s="39">
        <v>248</v>
      </c>
      <c r="V118" s="51">
        <f>D118*U118/1000</f>
        <v>1.7856</v>
      </c>
    </row>
    <row r="119" spans="1:22" s="45" customFormat="1" ht="15.75">
      <c r="A119" s="315"/>
      <c r="B119" s="126" t="s">
        <v>90</v>
      </c>
      <c r="C119" s="24"/>
      <c r="D119" s="32">
        <v>11.5</v>
      </c>
      <c r="E119" s="32">
        <v>11.5</v>
      </c>
      <c r="F119" s="24"/>
      <c r="G119" s="24"/>
      <c r="H119" s="24"/>
      <c r="I119" s="24"/>
      <c r="J119" s="24"/>
      <c r="K119" s="32"/>
      <c r="L119" s="39"/>
      <c r="M119" s="24"/>
      <c r="N119" s="24"/>
      <c r="O119" s="24"/>
      <c r="P119" s="24"/>
      <c r="Q119" s="102"/>
      <c r="R119" s="102"/>
      <c r="S119" s="24"/>
      <c r="T119" s="24"/>
      <c r="U119" s="39">
        <v>237.77</v>
      </c>
      <c r="V119" s="51">
        <f>D119*U119/1000</f>
        <v>2.734355</v>
      </c>
    </row>
    <row r="120" spans="1:22" s="45" customFormat="1" ht="15.75">
      <c r="A120" s="315"/>
      <c r="B120" s="126" t="s">
        <v>1</v>
      </c>
      <c r="C120" s="24"/>
      <c r="D120" s="32">
        <v>7.2</v>
      </c>
      <c r="E120" s="32">
        <v>7.2</v>
      </c>
      <c r="F120" s="24"/>
      <c r="G120" s="24"/>
      <c r="H120" s="24"/>
      <c r="I120" s="24"/>
      <c r="J120" s="24"/>
      <c r="K120" s="32"/>
      <c r="L120" s="39"/>
      <c r="M120" s="24"/>
      <c r="N120" s="24"/>
      <c r="O120" s="24"/>
      <c r="P120" s="24"/>
      <c r="Q120" s="102"/>
      <c r="R120" s="102"/>
      <c r="S120" s="24"/>
      <c r="T120" s="24"/>
      <c r="U120" s="39">
        <v>147.5</v>
      </c>
      <c r="V120" s="51">
        <f>D120*U120/1000</f>
        <v>1.062</v>
      </c>
    </row>
    <row r="121" spans="1:22" s="45" customFormat="1" ht="15.75">
      <c r="A121" s="315"/>
      <c r="B121" s="126" t="s">
        <v>58</v>
      </c>
      <c r="C121" s="24"/>
      <c r="D121" s="32">
        <v>7.2</v>
      </c>
      <c r="E121" s="32">
        <v>7.2</v>
      </c>
      <c r="F121" s="24"/>
      <c r="G121" s="24"/>
      <c r="H121" s="24"/>
      <c r="I121" s="24"/>
      <c r="J121" s="24"/>
      <c r="K121" s="32"/>
      <c r="L121" s="39"/>
      <c r="M121" s="24"/>
      <c r="N121" s="24"/>
      <c r="O121" s="24"/>
      <c r="P121" s="24"/>
      <c r="Q121" s="102"/>
      <c r="R121" s="102"/>
      <c r="S121" s="24"/>
      <c r="T121" s="24"/>
      <c r="U121" s="39">
        <v>653.09</v>
      </c>
      <c r="V121" s="51">
        <f>D121*U121/1000</f>
        <v>4.702248000000001</v>
      </c>
    </row>
    <row r="122" spans="1:22" s="45" customFormat="1" ht="15.75">
      <c r="A122" s="315"/>
      <c r="B122" s="126" t="s">
        <v>98</v>
      </c>
      <c r="C122" s="24"/>
      <c r="D122" s="32"/>
      <c r="E122" s="32">
        <v>180</v>
      </c>
      <c r="F122" s="24"/>
      <c r="G122" s="24"/>
      <c r="H122" s="24"/>
      <c r="I122" s="24"/>
      <c r="J122" s="24"/>
      <c r="K122" s="32"/>
      <c r="L122" s="39"/>
      <c r="M122" s="24"/>
      <c r="N122" s="24"/>
      <c r="O122" s="24"/>
      <c r="P122" s="24"/>
      <c r="Q122" s="102"/>
      <c r="R122" s="102"/>
      <c r="S122" s="24"/>
      <c r="T122" s="24"/>
      <c r="U122" s="39"/>
      <c r="V122" s="51">
        <f>O124*U122/1000</f>
        <v>0</v>
      </c>
    </row>
    <row r="123" spans="1:22" s="45" customFormat="1" ht="15.75">
      <c r="A123" s="315"/>
      <c r="B123" s="147" t="s">
        <v>50</v>
      </c>
      <c r="C123" s="33">
        <v>125</v>
      </c>
      <c r="D123" s="33"/>
      <c r="E123" s="33"/>
      <c r="F123" s="33">
        <v>6.2</v>
      </c>
      <c r="G123" s="34">
        <v>3.1</v>
      </c>
      <c r="H123" s="33">
        <v>9.2</v>
      </c>
      <c r="I123" s="33">
        <v>85</v>
      </c>
      <c r="J123" s="33">
        <v>0.9</v>
      </c>
      <c r="K123" s="33"/>
      <c r="L123" s="34"/>
      <c r="M123" s="34">
        <v>0.9</v>
      </c>
      <c r="N123" s="33">
        <v>0.1</v>
      </c>
      <c r="O123" s="38">
        <v>27</v>
      </c>
      <c r="P123" s="33">
        <v>0</v>
      </c>
      <c r="Q123" s="79">
        <v>165</v>
      </c>
      <c r="R123" s="79">
        <v>130</v>
      </c>
      <c r="S123" s="38">
        <v>20.4</v>
      </c>
      <c r="T123" s="33">
        <v>0.1</v>
      </c>
      <c r="U123" s="34"/>
      <c r="V123" s="53">
        <f>V124</f>
        <v>18</v>
      </c>
    </row>
    <row r="124" spans="2:22" s="11" customFormat="1" ht="15.75">
      <c r="B124" s="137" t="s">
        <v>51</v>
      </c>
      <c r="C124" s="54"/>
      <c r="D124" s="46">
        <v>125</v>
      </c>
      <c r="E124" s="50">
        <v>125</v>
      </c>
      <c r="F124" s="23"/>
      <c r="G124" s="51"/>
      <c r="H124" s="51"/>
      <c r="I124" s="51"/>
      <c r="J124" s="51"/>
      <c r="K124" s="51"/>
      <c r="L124" s="51"/>
      <c r="M124" s="51"/>
      <c r="N124" s="51"/>
      <c r="O124" s="95"/>
      <c r="P124" s="51"/>
      <c r="Q124" s="51"/>
      <c r="R124" s="51"/>
      <c r="S124" s="51"/>
      <c r="T124" s="51"/>
      <c r="U124" s="51">
        <v>144</v>
      </c>
      <c r="V124" s="51">
        <f>D124*U124/1000</f>
        <v>18</v>
      </c>
    </row>
    <row r="125" spans="1:22" s="6" customFormat="1" ht="15.75">
      <c r="A125" s="344"/>
      <c r="B125" s="333" t="s">
        <v>222</v>
      </c>
      <c r="C125" s="42">
        <v>200</v>
      </c>
      <c r="D125" s="42"/>
      <c r="E125" s="42"/>
      <c r="F125" s="42">
        <v>3.1</v>
      </c>
      <c r="G125" s="42">
        <v>2.7</v>
      </c>
      <c r="H125" s="42">
        <v>10</v>
      </c>
      <c r="I125" s="42">
        <v>107</v>
      </c>
      <c r="J125" s="42">
        <v>1</v>
      </c>
      <c r="K125" s="40"/>
      <c r="L125" s="68"/>
      <c r="M125" s="42">
        <v>4.72</v>
      </c>
      <c r="N125" s="40">
        <v>0.08</v>
      </c>
      <c r="O125" s="87">
        <v>44</v>
      </c>
      <c r="P125" s="40">
        <v>0.05</v>
      </c>
      <c r="Q125" s="74">
        <v>240</v>
      </c>
      <c r="R125" s="87">
        <v>180</v>
      </c>
      <c r="S125" s="40">
        <v>28</v>
      </c>
      <c r="T125" s="41">
        <v>0.2</v>
      </c>
      <c r="U125" s="68"/>
      <c r="V125" s="53">
        <f>SUM(V126:V128)</f>
        <v>9.1414</v>
      </c>
    </row>
    <row r="126" spans="1:22" s="43" customFormat="1" ht="15.75">
      <c r="A126" s="345"/>
      <c r="B126" s="334" t="s">
        <v>107</v>
      </c>
      <c r="C126" s="90"/>
      <c r="D126" s="90">
        <v>4</v>
      </c>
      <c r="E126" s="90">
        <v>4</v>
      </c>
      <c r="F126" s="90"/>
      <c r="G126" s="90"/>
      <c r="H126" s="90"/>
      <c r="I126" s="90"/>
      <c r="J126" s="90"/>
      <c r="K126" s="21"/>
      <c r="L126" s="51"/>
      <c r="M126" s="21"/>
      <c r="N126" s="21"/>
      <c r="O126" s="112"/>
      <c r="P126" s="21"/>
      <c r="Q126" s="99"/>
      <c r="R126" s="202"/>
      <c r="S126" s="21"/>
      <c r="T126" s="21"/>
      <c r="U126" s="51">
        <v>492</v>
      </c>
      <c r="V126" s="51">
        <f>D126*U126/1000</f>
        <v>1.968</v>
      </c>
    </row>
    <row r="127" spans="1:22" s="6" customFormat="1" ht="15.75">
      <c r="A127" s="344"/>
      <c r="B127" s="334" t="s">
        <v>54</v>
      </c>
      <c r="C127" s="90"/>
      <c r="D127" s="90">
        <v>70</v>
      </c>
      <c r="E127" s="90">
        <v>70</v>
      </c>
      <c r="F127" s="90"/>
      <c r="G127" s="90"/>
      <c r="H127" s="90"/>
      <c r="I127" s="90"/>
      <c r="J127" s="90"/>
      <c r="K127" s="21"/>
      <c r="L127" s="51"/>
      <c r="M127" s="21"/>
      <c r="N127" s="21"/>
      <c r="O127" s="112"/>
      <c r="P127" s="21"/>
      <c r="Q127" s="99"/>
      <c r="R127" s="202"/>
      <c r="S127" s="21"/>
      <c r="T127" s="21"/>
      <c r="U127" s="51"/>
      <c r="V127" s="51">
        <f>D127*U127/1000</f>
        <v>0</v>
      </c>
    </row>
    <row r="128" spans="1:22" s="6" customFormat="1" ht="15.75">
      <c r="A128" s="344"/>
      <c r="B128" s="335" t="s">
        <v>86</v>
      </c>
      <c r="C128" s="90"/>
      <c r="D128" s="90">
        <v>130</v>
      </c>
      <c r="E128" s="90">
        <v>130</v>
      </c>
      <c r="F128" s="90"/>
      <c r="G128" s="90"/>
      <c r="H128" s="90"/>
      <c r="I128" s="90"/>
      <c r="J128" s="90"/>
      <c r="K128" s="21"/>
      <c r="L128" s="51"/>
      <c r="M128" s="21"/>
      <c r="N128" s="21"/>
      <c r="O128" s="112"/>
      <c r="P128" s="21"/>
      <c r="Q128" s="99"/>
      <c r="R128" s="202"/>
      <c r="S128" s="21"/>
      <c r="T128" s="21"/>
      <c r="U128" s="51">
        <v>55.18</v>
      </c>
      <c r="V128" s="51">
        <f>D128*U128/1000</f>
        <v>7.1734</v>
      </c>
    </row>
    <row r="129" spans="2:22" s="43" customFormat="1" ht="15.75">
      <c r="B129" s="123" t="s">
        <v>53</v>
      </c>
      <c r="C129" s="40">
        <v>20</v>
      </c>
      <c r="D129" s="69"/>
      <c r="E129" s="69"/>
      <c r="F129" s="40">
        <v>1.4</v>
      </c>
      <c r="G129" s="40">
        <v>0.24</v>
      </c>
      <c r="H129" s="40">
        <v>7.8</v>
      </c>
      <c r="I129" s="87">
        <v>40</v>
      </c>
      <c r="J129" s="87">
        <v>0.8</v>
      </c>
      <c r="K129" s="82"/>
      <c r="L129" s="40"/>
      <c r="M129" s="67">
        <v>0</v>
      </c>
      <c r="N129" s="40">
        <v>0.04</v>
      </c>
      <c r="O129" s="107">
        <v>0</v>
      </c>
      <c r="P129" s="40">
        <v>0.4</v>
      </c>
      <c r="Q129" s="97">
        <v>6.9</v>
      </c>
      <c r="R129" s="87">
        <v>26.8</v>
      </c>
      <c r="S129" s="82">
        <v>9.9</v>
      </c>
      <c r="T129" s="40">
        <v>0.6</v>
      </c>
      <c r="U129" s="69">
        <v>50.08</v>
      </c>
      <c r="V129" s="53">
        <f>C129*U129/1000</f>
        <v>1.0015999999999998</v>
      </c>
    </row>
    <row r="130" spans="1:22" s="11" customFormat="1" ht="31.5">
      <c r="A130" s="270" t="s">
        <v>197</v>
      </c>
      <c r="B130" s="271"/>
      <c r="C130" s="272" t="s">
        <v>205</v>
      </c>
      <c r="D130" s="271"/>
      <c r="E130" s="273"/>
      <c r="F130" s="287">
        <f aca="true" t="shared" si="9" ref="F130:T130">F112+F115+F123+F125+F129</f>
        <v>21.8</v>
      </c>
      <c r="G130" s="287">
        <f t="shared" si="9"/>
        <v>22.79</v>
      </c>
      <c r="H130" s="287">
        <f t="shared" si="9"/>
        <v>50.3</v>
      </c>
      <c r="I130" s="287">
        <f t="shared" si="9"/>
        <v>634</v>
      </c>
      <c r="J130" s="287">
        <f t="shared" si="9"/>
        <v>4.999999999999999</v>
      </c>
      <c r="K130" s="287">
        <f t="shared" si="9"/>
        <v>0</v>
      </c>
      <c r="L130" s="287">
        <f t="shared" si="9"/>
        <v>0</v>
      </c>
      <c r="M130" s="287">
        <f t="shared" si="9"/>
        <v>6.52</v>
      </c>
      <c r="N130" s="287">
        <f t="shared" si="9"/>
        <v>0.41000000000000003</v>
      </c>
      <c r="O130" s="287">
        <f t="shared" si="9"/>
        <v>195</v>
      </c>
      <c r="P130" s="287">
        <f t="shared" si="9"/>
        <v>1.6400000000000001</v>
      </c>
      <c r="Q130" s="287">
        <f t="shared" si="9"/>
        <v>819.9</v>
      </c>
      <c r="R130" s="287">
        <f t="shared" si="9"/>
        <v>751.5999999999999</v>
      </c>
      <c r="S130" s="287">
        <f t="shared" si="9"/>
        <v>101.68</v>
      </c>
      <c r="T130" s="287">
        <f t="shared" si="9"/>
        <v>23.360000000000003</v>
      </c>
      <c r="U130" s="287"/>
      <c r="V130" s="287">
        <f>V112+V115+V123+V125+V129</f>
        <v>94.303867</v>
      </c>
    </row>
    <row r="131" spans="1:22" s="10" customFormat="1" ht="15.75">
      <c r="A131" s="264" t="s">
        <v>11</v>
      </c>
      <c r="B131" s="308"/>
      <c r="C131" s="264"/>
      <c r="D131" s="265"/>
      <c r="E131" s="266"/>
      <c r="F131" s="267"/>
      <c r="G131" s="267"/>
      <c r="H131" s="267"/>
      <c r="I131" s="267"/>
      <c r="J131" s="267"/>
      <c r="K131" s="309" t="e">
        <f>SUM(#REF!+#REF!+#REF!+#REF!+#REF!+#REF!+#REF!+#REF!)</f>
        <v>#REF!</v>
      </c>
      <c r="L131" s="309" t="e">
        <f>SUM(#REF!+#REF!+#REF!+#REF!+#REF!+#REF!+#REF!+#REF!)</f>
        <v>#REF!</v>
      </c>
      <c r="M131" s="309"/>
      <c r="N131" s="309"/>
      <c r="O131" s="309"/>
      <c r="P131" s="309"/>
      <c r="Q131" s="309"/>
      <c r="R131" s="309"/>
      <c r="S131" s="309"/>
      <c r="T131" s="309"/>
      <c r="U131" s="28"/>
      <c r="V131" s="28"/>
    </row>
    <row r="132" spans="2:22" s="73" customFormat="1" ht="31.5">
      <c r="B132" s="133" t="s">
        <v>240</v>
      </c>
      <c r="C132" s="40">
        <v>40</v>
      </c>
      <c r="D132" s="40"/>
      <c r="E132" s="40"/>
      <c r="F132" s="40">
        <v>0.32</v>
      </c>
      <c r="G132" s="41">
        <v>0.04</v>
      </c>
      <c r="H132" s="41">
        <v>0.68</v>
      </c>
      <c r="I132" s="40">
        <v>4</v>
      </c>
      <c r="J132" s="40">
        <v>0.01</v>
      </c>
      <c r="K132" s="77"/>
      <c r="L132" s="77"/>
      <c r="M132" s="67">
        <v>1.4</v>
      </c>
      <c r="N132" s="40">
        <v>0.01</v>
      </c>
      <c r="O132" s="41">
        <v>0</v>
      </c>
      <c r="P132" s="41">
        <v>0.04</v>
      </c>
      <c r="Q132" s="97">
        <v>9.2</v>
      </c>
      <c r="R132" s="74">
        <v>9.6</v>
      </c>
      <c r="S132" s="41">
        <v>5.6</v>
      </c>
      <c r="T132" s="40">
        <v>0.024</v>
      </c>
      <c r="U132" s="37"/>
      <c r="V132" s="34">
        <f>V133</f>
        <v>10.87946</v>
      </c>
    </row>
    <row r="133" spans="2:22" s="6" customFormat="1" ht="15.75">
      <c r="B133" s="155" t="s">
        <v>223</v>
      </c>
      <c r="C133" s="69"/>
      <c r="D133" s="69">
        <v>67</v>
      </c>
      <c r="E133" s="69">
        <v>40</v>
      </c>
      <c r="F133" s="69"/>
      <c r="G133" s="86"/>
      <c r="H133" s="86"/>
      <c r="I133" s="69"/>
      <c r="J133" s="69"/>
      <c r="K133" s="71"/>
      <c r="L133" s="71"/>
      <c r="M133" s="156"/>
      <c r="N133" s="69"/>
      <c r="O133" s="86"/>
      <c r="P133" s="86"/>
      <c r="Q133" s="293"/>
      <c r="R133" s="294"/>
      <c r="S133" s="86"/>
      <c r="T133" s="69"/>
      <c r="U133" s="60">
        <v>162.38</v>
      </c>
      <c r="V133" s="60">
        <f>D133*U133/1000</f>
        <v>10.87946</v>
      </c>
    </row>
    <row r="134" spans="2:22" s="43" customFormat="1" ht="31.5">
      <c r="B134" s="134" t="s">
        <v>28</v>
      </c>
      <c r="C134" s="336" t="s">
        <v>144</v>
      </c>
      <c r="D134" s="130"/>
      <c r="E134" s="42"/>
      <c r="F134" s="67">
        <v>6.5</v>
      </c>
      <c r="G134" s="67">
        <v>9.7</v>
      </c>
      <c r="H134" s="97">
        <v>29.2</v>
      </c>
      <c r="I134" s="107">
        <v>230</v>
      </c>
      <c r="J134" s="107">
        <v>2.9</v>
      </c>
      <c r="K134" s="67"/>
      <c r="L134" s="67"/>
      <c r="M134" s="67">
        <v>6.6</v>
      </c>
      <c r="N134" s="67">
        <v>0.01</v>
      </c>
      <c r="O134" s="107">
        <v>0</v>
      </c>
      <c r="P134" s="67">
        <v>0.4</v>
      </c>
      <c r="Q134" s="97">
        <v>50</v>
      </c>
      <c r="R134" s="107">
        <v>93</v>
      </c>
      <c r="S134" s="97">
        <v>33.3</v>
      </c>
      <c r="T134" s="67">
        <v>0.5</v>
      </c>
      <c r="U134" s="31"/>
      <c r="V134" s="34">
        <f>SUM(V135:V149)</f>
        <v>27.203049999999998</v>
      </c>
    </row>
    <row r="135" spans="2:22" s="28" customFormat="1" ht="15.75">
      <c r="B135" s="148" t="s">
        <v>35</v>
      </c>
      <c r="C135" s="30"/>
      <c r="D135" s="118">
        <v>32</v>
      </c>
      <c r="E135" s="61">
        <v>32</v>
      </c>
      <c r="F135" s="31"/>
      <c r="G135" s="31"/>
      <c r="H135" s="31"/>
      <c r="I135" s="31"/>
      <c r="J135" s="31"/>
      <c r="K135" s="31"/>
      <c r="L135" s="31"/>
      <c r="M135" s="31"/>
      <c r="N135" s="31"/>
      <c r="O135" s="108"/>
      <c r="P135" s="31"/>
      <c r="Q135" s="44"/>
      <c r="R135" s="108"/>
      <c r="S135" s="31"/>
      <c r="T135" s="31"/>
      <c r="U135" s="64">
        <v>440</v>
      </c>
      <c r="V135" s="60">
        <f>D135*U135/1000</f>
        <v>14.08</v>
      </c>
    </row>
    <row r="136" spans="2:22" s="28" customFormat="1" ht="15.75">
      <c r="B136" s="124" t="s">
        <v>113</v>
      </c>
      <c r="C136" s="30"/>
      <c r="D136" s="118">
        <v>80</v>
      </c>
      <c r="E136" s="61">
        <v>64</v>
      </c>
      <c r="F136" s="31"/>
      <c r="G136" s="31"/>
      <c r="H136" s="31"/>
      <c r="I136" s="31"/>
      <c r="J136" s="31"/>
      <c r="K136" s="31"/>
      <c r="L136" s="31"/>
      <c r="M136" s="31"/>
      <c r="N136" s="31"/>
      <c r="O136" s="108"/>
      <c r="P136" s="31"/>
      <c r="Q136" s="44"/>
      <c r="R136" s="108"/>
      <c r="S136" s="31"/>
      <c r="T136" s="31"/>
      <c r="U136" s="64">
        <v>82.5</v>
      </c>
      <c r="V136" s="60">
        <f aca="true" t="shared" si="10" ref="V136:V149">D136*U136/1000</f>
        <v>6.6</v>
      </c>
    </row>
    <row r="137" spans="2:22" s="28" customFormat="1" ht="15.75">
      <c r="B137" s="124" t="s">
        <v>104</v>
      </c>
      <c r="C137" s="30"/>
      <c r="D137" s="118">
        <v>85</v>
      </c>
      <c r="E137" s="61">
        <v>64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108"/>
      <c r="P137" s="31"/>
      <c r="Q137" s="44"/>
      <c r="R137" s="108"/>
      <c r="S137" s="31"/>
      <c r="T137" s="31"/>
      <c r="U137" s="64"/>
      <c r="V137" s="60">
        <f t="shared" si="10"/>
        <v>0</v>
      </c>
    </row>
    <row r="138" spans="2:22" s="28" customFormat="1" ht="15.75">
      <c r="B138" s="124" t="s">
        <v>17</v>
      </c>
      <c r="C138" s="30"/>
      <c r="D138" s="118">
        <v>57</v>
      </c>
      <c r="E138" s="61">
        <v>43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108"/>
      <c r="P138" s="31"/>
      <c r="Q138" s="44"/>
      <c r="R138" s="108"/>
      <c r="S138" s="31"/>
      <c r="T138" s="31"/>
      <c r="U138" s="64">
        <v>50.25</v>
      </c>
      <c r="V138" s="60">
        <f t="shared" si="10"/>
        <v>2.86425</v>
      </c>
    </row>
    <row r="139" spans="2:22" s="28" customFormat="1" ht="15.75">
      <c r="B139" s="124" t="s">
        <v>29</v>
      </c>
      <c r="C139" s="30"/>
      <c r="D139" s="118">
        <v>62</v>
      </c>
      <c r="E139" s="61">
        <v>43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108"/>
      <c r="P139" s="31"/>
      <c r="Q139" s="44"/>
      <c r="R139" s="108"/>
      <c r="S139" s="31"/>
      <c r="T139" s="31"/>
      <c r="U139" s="64"/>
      <c r="V139" s="60">
        <f t="shared" si="10"/>
        <v>0</v>
      </c>
    </row>
    <row r="140" spans="2:22" s="28" customFormat="1" ht="15.75">
      <c r="B140" s="124" t="s">
        <v>131</v>
      </c>
      <c r="C140" s="30"/>
      <c r="D140" s="118">
        <v>65</v>
      </c>
      <c r="E140" s="61">
        <v>43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108"/>
      <c r="P140" s="31"/>
      <c r="Q140" s="44"/>
      <c r="R140" s="108"/>
      <c r="S140" s="31"/>
      <c r="T140" s="31"/>
      <c r="U140" s="64"/>
      <c r="V140" s="60">
        <f t="shared" si="10"/>
        <v>0</v>
      </c>
    </row>
    <row r="141" spans="2:22" s="28" customFormat="1" ht="15.75">
      <c r="B141" s="124" t="s">
        <v>132</v>
      </c>
      <c r="C141" s="30"/>
      <c r="D141" s="118">
        <v>71</v>
      </c>
      <c r="E141" s="61">
        <v>43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108"/>
      <c r="P141" s="31"/>
      <c r="Q141" s="44"/>
      <c r="R141" s="108"/>
      <c r="S141" s="31"/>
      <c r="T141" s="31"/>
      <c r="U141" s="64"/>
      <c r="V141" s="60">
        <f t="shared" si="10"/>
        <v>0</v>
      </c>
    </row>
    <row r="142" spans="2:22" s="28" customFormat="1" ht="15.75">
      <c r="B142" s="124" t="s">
        <v>60</v>
      </c>
      <c r="C142" s="30"/>
      <c r="D142" s="118">
        <v>12.5</v>
      </c>
      <c r="E142" s="61">
        <v>10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108"/>
      <c r="P142" s="31"/>
      <c r="Q142" s="44"/>
      <c r="R142" s="108"/>
      <c r="S142" s="31"/>
      <c r="T142" s="31"/>
      <c r="U142" s="64">
        <v>81.72</v>
      </c>
      <c r="V142" s="60">
        <f t="shared" si="10"/>
        <v>1.0215</v>
      </c>
    </row>
    <row r="143" spans="2:22" s="28" customFormat="1" ht="15.75">
      <c r="B143" s="124" t="s">
        <v>104</v>
      </c>
      <c r="C143" s="30"/>
      <c r="D143" s="118">
        <v>13</v>
      </c>
      <c r="E143" s="61">
        <v>10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108"/>
      <c r="P143" s="31"/>
      <c r="Q143" s="44"/>
      <c r="R143" s="108"/>
      <c r="S143" s="31"/>
      <c r="T143" s="31"/>
      <c r="U143" s="64"/>
      <c r="V143" s="60">
        <f t="shared" si="10"/>
        <v>0</v>
      </c>
    </row>
    <row r="144" spans="2:22" s="28" customFormat="1" ht="15.75">
      <c r="B144" s="124" t="s">
        <v>55</v>
      </c>
      <c r="C144" s="30"/>
      <c r="D144" s="118">
        <v>15</v>
      </c>
      <c r="E144" s="61">
        <v>12.5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108"/>
      <c r="P144" s="31"/>
      <c r="Q144" s="44"/>
      <c r="R144" s="108"/>
      <c r="S144" s="31"/>
      <c r="T144" s="31"/>
      <c r="U144" s="64">
        <v>32.75</v>
      </c>
      <c r="V144" s="60">
        <f t="shared" si="10"/>
        <v>0.49125</v>
      </c>
    </row>
    <row r="145" spans="2:22" s="28" customFormat="1" ht="15.75">
      <c r="B145" s="148" t="s">
        <v>250</v>
      </c>
      <c r="C145" s="30"/>
      <c r="D145" s="118">
        <v>1.2</v>
      </c>
      <c r="E145" s="61">
        <v>1.2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108"/>
      <c r="P145" s="31"/>
      <c r="Q145" s="44"/>
      <c r="R145" s="108"/>
      <c r="S145" s="31"/>
      <c r="T145" s="31"/>
      <c r="U145" s="64">
        <v>264</v>
      </c>
      <c r="V145" s="60">
        <f t="shared" si="10"/>
        <v>0.3168</v>
      </c>
    </row>
    <row r="146" spans="2:22" s="28" customFormat="1" ht="15.75">
      <c r="B146" s="148" t="s">
        <v>90</v>
      </c>
      <c r="C146" s="30"/>
      <c r="D146" s="118">
        <v>5</v>
      </c>
      <c r="E146" s="61">
        <v>5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108"/>
      <c r="P146" s="31"/>
      <c r="Q146" s="44"/>
      <c r="R146" s="108"/>
      <c r="S146" s="31"/>
      <c r="T146" s="31"/>
      <c r="U146" s="64">
        <v>237.77</v>
      </c>
      <c r="V146" s="60">
        <f t="shared" si="10"/>
        <v>1.1888500000000002</v>
      </c>
    </row>
    <row r="147" spans="2:22" s="28" customFormat="1" ht="15.75">
      <c r="B147" s="148" t="s">
        <v>57</v>
      </c>
      <c r="C147" s="30"/>
      <c r="D147" s="118">
        <v>5</v>
      </c>
      <c r="E147" s="61">
        <v>5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108"/>
      <c r="P147" s="31"/>
      <c r="Q147" s="44"/>
      <c r="R147" s="108"/>
      <c r="S147" s="31"/>
      <c r="T147" s="31"/>
      <c r="U147" s="64">
        <v>125.7</v>
      </c>
      <c r="V147" s="60">
        <f t="shared" si="10"/>
        <v>0.6285</v>
      </c>
    </row>
    <row r="148" spans="2:22" s="28" customFormat="1" ht="15.75">
      <c r="B148" s="148" t="s">
        <v>135</v>
      </c>
      <c r="C148" s="30"/>
      <c r="D148" s="118">
        <v>190</v>
      </c>
      <c r="E148" s="61">
        <v>190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108"/>
      <c r="P148" s="31"/>
      <c r="Q148" s="44"/>
      <c r="R148" s="108"/>
      <c r="S148" s="31"/>
      <c r="T148" s="31"/>
      <c r="U148" s="64"/>
      <c r="V148" s="60">
        <f t="shared" si="10"/>
        <v>0</v>
      </c>
    </row>
    <row r="149" spans="2:22" s="28" customFormat="1" ht="15.75">
      <c r="B149" s="124" t="s">
        <v>14</v>
      </c>
      <c r="C149" s="30"/>
      <c r="D149" s="118">
        <v>1</v>
      </c>
      <c r="E149" s="61">
        <v>1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108"/>
      <c r="P149" s="31"/>
      <c r="Q149" s="44"/>
      <c r="R149" s="108"/>
      <c r="S149" s="31"/>
      <c r="T149" s="31"/>
      <c r="U149" s="64">
        <v>11.9</v>
      </c>
      <c r="V149" s="60">
        <f t="shared" si="10"/>
        <v>0.0119</v>
      </c>
    </row>
    <row r="150" spans="2:22" s="7" customFormat="1" ht="15.75">
      <c r="B150" s="133" t="s">
        <v>24</v>
      </c>
      <c r="C150" s="40">
        <v>100</v>
      </c>
      <c r="D150" s="40"/>
      <c r="E150" s="40"/>
      <c r="F150" s="40">
        <v>16.15</v>
      </c>
      <c r="G150" s="41">
        <v>14.6</v>
      </c>
      <c r="H150" s="41">
        <v>4.4</v>
      </c>
      <c r="I150" s="40">
        <v>180</v>
      </c>
      <c r="J150" s="40">
        <v>0.4</v>
      </c>
      <c r="K150" s="127"/>
      <c r="L150" s="127"/>
      <c r="M150" s="67">
        <v>2</v>
      </c>
      <c r="N150" s="40">
        <v>0.1</v>
      </c>
      <c r="O150" s="74">
        <v>49.6</v>
      </c>
      <c r="P150" s="41">
        <v>5.7</v>
      </c>
      <c r="Q150" s="97">
        <v>200</v>
      </c>
      <c r="R150" s="74">
        <v>175</v>
      </c>
      <c r="S150" s="74">
        <v>24.98</v>
      </c>
      <c r="T150" s="40">
        <v>0.6</v>
      </c>
      <c r="U150" s="34"/>
      <c r="V150" s="34">
        <f>SUM(V151:V154)</f>
        <v>76.38718399999999</v>
      </c>
    </row>
    <row r="151" spans="2:22" s="6" customFormat="1" ht="31.5">
      <c r="B151" s="157" t="s">
        <v>25</v>
      </c>
      <c r="C151" s="69"/>
      <c r="D151" s="69">
        <v>170</v>
      </c>
      <c r="E151" s="69">
        <v>120</v>
      </c>
      <c r="F151" s="69"/>
      <c r="G151" s="86"/>
      <c r="H151" s="86"/>
      <c r="I151" s="69"/>
      <c r="J151" s="69"/>
      <c r="K151" s="71"/>
      <c r="L151" s="71"/>
      <c r="M151" s="156"/>
      <c r="N151" s="69"/>
      <c r="O151" s="86"/>
      <c r="P151" s="86"/>
      <c r="Q151" s="156"/>
      <c r="R151" s="86"/>
      <c r="S151" s="86"/>
      <c r="T151" s="69"/>
      <c r="U151" s="60">
        <v>444.25</v>
      </c>
      <c r="V151" s="60">
        <f>D151*U151/1000</f>
        <v>75.5225</v>
      </c>
    </row>
    <row r="152" spans="2:22" s="6" customFormat="1" ht="15.75">
      <c r="B152" s="157" t="s">
        <v>56</v>
      </c>
      <c r="C152" s="69"/>
      <c r="D152" s="69">
        <v>5.8</v>
      </c>
      <c r="E152" s="69">
        <v>5.8</v>
      </c>
      <c r="F152" s="69"/>
      <c r="G152" s="86"/>
      <c r="H152" s="86"/>
      <c r="I152" s="69"/>
      <c r="J152" s="69"/>
      <c r="K152" s="71"/>
      <c r="L152" s="71"/>
      <c r="M152" s="156"/>
      <c r="N152" s="69"/>
      <c r="O152" s="86"/>
      <c r="P152" s="86"/>
      <c r="Q152" s="156"/>
      <c r="R152" s="86"/>
      <c r="S152" s="86"/>
      <c r="T152" s="69"/>
      <c r="U152" s="60">
        <v>39.08</v>
      </c>
      <c r="V152" s="60">
        <f>D152*U152/1000</f>
        <v>0.22666399999999998</v>
      </c>
    </row>
    <row r="153" spans="2:22" s="6" customFormat="1" ht="15.75">
      <c r="B153" s="157" t="s">
        <v>57</v>
      </c>
      <c r="C153" s="69"/>
      <c r="D153" s="69">
        <v>5</v>
      </c>
      <c r="E153" s="69">
        <v>5</v>
      </c>
      <c r="F153" s="69"/>
      <c r="G153" s="86"/>
      <c r="H153" s="86"/>
      <c r="I153" s="69"/>
      <c r="J153" s="69"/>
      <c r="K153" s="71"/>
      <c r="L153" s="71"/>
      <c r="M153" s="156"/>
      <c r="N153" s="69"/>
      <c r="O153" s="86"/>
      <c r="P153" s="86"/>
      <c r="Q153" s="156"/>
      <c r="R153" s="86"/>
      <c r="S153" s="86"/>
      <c r="T153" s="69"/>
      <c r="U153" s="60">
        <v>125.7</v>
      </c>
      <c r="V153" s="60">
        <f>D153*U153/1000</f>
        <v>0.6285</v>
      </c>
    </row>
    <row r="154" spans="2:22" s="6" customFormat="1" ht="15.75">
      <c r="B154" s="157" t="s">
        <v>14</v>
      </c>
      <c r="C154" s="69"/>
      <c r="D154" s="69">
        <v>0.8</v>
      </c>
      <c r="E154" s="69">
        <v>0.8</v>
      </c>
      <c r="F154" s="69"/>
      <c r="G154" s="86"/>
      <c r="H154" s="86"/>
      <c r="I154" s="69"/>
      <c r="J154" s="69"/>
      <c r="K154" s="71"/>
      <c r="L154" s="71"/>
      <c r="M154" s="156"/>
      <c r="N154" s="69"/>
      <c r="O154" s="86"/>
      <c r="P154" s="86"/>
      <c r="Q154" s="156"/>
      <c r="R154" s="86"/>
      <c r="S154" s="86"/>
      <c r="T154" s="69"/>
      <c r="U154" s="60">
        <v>11.9</v>
      </c>
      <c r="V154" s="60">
        <f>D154*U154/1000</f>
        <v>0.00952</v>
      </c>
    </row>
    <row r="155" spans="2:206" s="14" customFormat="1" ht="15.75">
      <c r="B155" s="125" t="s">
        <v>224</v>
      </c>
      <c r="C155" s="33">
        <v>180</v>
      </c>
      <c r="D155" s="33"/>
      <c r="E155" s="33"/>
      <c r="F155" s="33">
        <v>4.3</v>
      </c>
      <c r="G155" s="33">
        <v>5.2</v>
      </c>
      <c r="H155" s="33">
        <v>45.7</v>
      </c>
      <c r="I155" s="33">
        <v>239</v>
      </c>
      <c r="J155" s="33">
        <v>4.5</v>
      </c>
      <c r="K155" s="33"/>
      <c r="L155" s="33"/>
      <c r="M155" s="30">
        <v>0</v>
      </c>
      <c r="N155" s="33">
        <v>0.02</v>
      </c>
      <c r="O155" s="33">
        <v>0</v>
      </c>
      <c r="P155" s="33">
        <v>0.36</v>
      </c>
      <c r="Q155" s="30">
        <v>141</v>
      </c>
      <c r="R155" s="33">
        <v>402</v>
      </c>
      <c r="S155" s="33">
        <v>86</v>
      </c>
      <c r="T155" s="33">
        <v>4.9</v>
      </c>
      <c r="U155" s="34"/>
      <c r="V155" s="34">
        <f>SUM(V156:V159)</f>
        <v>8.810000000000002</v>
      </c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</row>
    <row r="156" spans="2:206" s="45" customFormat="1" ht="15.75">
      <c r="B156" s="169" t="s">
        <v>95</v>
      </c>
      <c r="C156" s="33"/>
      <c r="D156" s="35">
        <v>63</v>
      </c>
      <c r="E156" s="35">
        <v>63</v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60">
        <v>77.51</v>
      </c>
      <c r="V156" s="60">
        <f>D156*U156/1000</f>
        <v>4.88313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</row>
    <row r="157" spans="2:206" s="45" customFormat="1" ht="15.75">
      <c r="B157" s="169" t="s">
        <v>54</v>
      </c>
      <c r="C157" s="33"/>
      <c r="D157" s="35">
        <v>132</v>
      </c>
      <c r="E157" s="35">
        <v>132</v>
      </c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60"/>
      <c r="V157" s="60">
        <f>D157*U157/1000</f>
        <v>0</v>
      </c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</row>
    <row r="158" spans="2:206" s="45" customFormat="1" ht="15.75">
      <c r="B158" s="169" t="s">
        <v>58</v>
      </c>
      <c r="C158" s="33"/>
      <c r="D158" s="35">
        <v>6</v>
      </c>
      <c r="E158" s="35">
        <v>6</v>
      </c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60">
        <v>653.09</v>
      </c>
      <c r="V158" s="60">
        <f>D158*U158/1000</f>
        <v>3.91854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</row>
    <row r="159" spans="2:206" s="45" customFormat="1" ht="15.75">
      <c r="B159" s="140" t="s">
        <v>15</v>
      </c>
      <c r="C159" s="33"/>
      <c r="D159" s="35">
        <v>0.7</v>
      </c>
      <c r="E159" s="35">
        <v>0.7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60">
        <v>11.9</v>
      </c>
      <c r="V159" s="60">
        <f>D159*U159/1000</f>
        <v>0.00833</v>
      </c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</row>
    <row r="160" spans="2:206" s="26" customFormat="1" ht="15.75">
      <c r="B160" s="147" t="s">
        <v>252</v>
      </c>
      <c r="C160" s="33">
        <v>200</v>
      </c>
      <c r="D160" s="33"/>
      <c r="E160" s="33"/>
      <c r="F160" s="33">
        <v>0.35</v>
      </c>
      <c r="G160" s="33">
        <v>0.11</v>
      </c>
      <c r="H160" s="33">
        <v>16</v>
      </c>
      <c r="I160" s="33">
        <v>99</v>
      </c>
      <c r="J160" s="33">
        <v>1.6</v>
      </c>
      <c r="K160" s="33"/>
      <c r="L160" s="34"/>
      <c r="M160" s="30">
        <v>0.45</v>
      </c>
      <c r="N160" s="33">
        <v>0.004</v>
      </c>
      <c r="O160" s="31">
        <v>0</v>
      </c>
      <c r="P160" s="34">
        <v>1.6</v>
      </c>
      <c r="Q160" s="30">
        <v>20.32</v>
      </c>
      <c r="R160" s="33">
        <v>12.46</v>
      </c>
      <c r="S160" s="33">
        <v>20.3</v>
      </c>
      <c r="T160" s="33">
        <v>0.45</v>
      </c>
      <c r="U160" s="34"/>
      <c r="V160" s="34">
        <f>SUM(V161:V163)</f>
        <v>7.7253</v>
      </c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</row>
    <row r="161" spans="2:206" s="45" customFormat="1" ht="15.75">
      <c r="B161" s="140" t="s">
        <v>225</v>
      </c>
      <c r="C161" s="33"/>
      <c r="D161" s="35">
        <v>25</v>
      </c>
      <c r="E161" s="35">
        <v>25</v>
      </c>
      <c r="F161" s="36"/>
      <c r="G161" s="36"/>
      <c r="H161" s="36"/>
      <c r="I161" s="36"/>
      <c r="J161" s="36"/>
      <c r="K161" s="35"/>
      <c r="L161" s="60"/>
      <c r="M161" s="36"/>
      <c r="N161" s="36"/>
      <c r="O161" s="36"/>
      <c r="P161" s="36"/>
      <c r="Q161" s="36"/>
      <c r="R161" s="36"/>
      <c r="S161" s="36"/>
      <c r="T161" s="36"/>
      <c r="U161" s="60">
        <v>304</v>
      </c>
      <c r="V161" s="60">
        <f>D161*U161/1000</f>
        <v>7.6</v>
      </c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</row>
    <row r="162" spans="2:206" s="45" customFormat="1" ht="15.75">
      <c r="B162" s="140" t="s">
        <v>226</v>
      </c>
      <c r="C162" s="33"/>
      <c r="D162" s="35">
        <v>203</v>
      </c>
      <c r="E162" s="35">
        <v>203</v>
      </c>
      <c r="F162" s="36"/>
      <c r="G162" s="36"/>
      <c r="H162" s="36"/>
      <c r="I162" s="36"/>
      <c r="J162" s="36"/>
      <c r="K162" s="35"/>
      <c r="L162" s="60"/>
      <c r="M162" s="36"/>
      <c r="N162" s="36"/>
      <c r="O162" s="36"/>
      <c r="P162" s="36"/>
      <c r="Q162" s="36"/>
      <c r="R162" s="36"/>
      <c r="S162" s="36"/>
      <c r="T162" s="36"/>
      <c r="U162" s="60"/>
      <c r="V162" s="60">
        <f>D162*U162/1000</f>
        <v>0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</row>
    <row r="163" spans="1:206" s="45" customFormat="1" ht="15.75">
      <c r="A163" s="338"/>
      <c r="B163" s="339" t="s">
        <v>111</v>
      </c>
      <c r="C163" s="340"/>
      <c r="D163" s="341">
        <v>0.07</v>
      </c>
      <c r="E163" s="35">
        <v>0.07</v>
      </c>
      <c r="F163" s="342"/>
      <c r="G163" s="36"/>
      <c r="H163" s="36"/>
      <c r="I163" s="36"/>
      <c r="J163" s="343"/>
      <c r="K163" s="35"/>
      <c r="L163" s="60"/>
      <c r="M163" s="36"/>
      <c r="N163" s="343"/>
      <c r="O163" s="36"/>
      <c r="P163" s="36"/>
      <c r="Q163" s="36"/>
      <c r="R163" s="36"/>
      <c r="S163" s="343"/>
      <c r="T163" s="36"/>
      <c r="U163" s="60">
        <v>1790</v>
      </c>
      <c r="V163" s="60">
        <f>D163*U163/1000</f>
        <v>0.12530000000000002</v>
      </c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</row>
    <row r="164" spans="2:22" s="70" customFormat="1" ht="15.75">
      <c r="B164" s="123" t="s">
        <v>53</v>
      </c>
      <c r="C164" s="40">
        <v>40</v>
      </c>
      <c r="D164" s="69"/>
      <c r="E164" s="69"/>
      <c r="F164" s="40">
        <v>2.8</v>
      </c>
      <c r="G164" s="40">
        <v>0.48</v>
      </c>
      <c r="H164" s="40">
        <v>15.6</v>
      </c>
      <c r="I164" s="87">
        <v>80</v>
      </c>
      <c r="J164" s="74">
        <v>1.5</v>
      </c>
      <c r="K164" s="40"/>
      <c r="L164" s="40"/>
      <c r="M164" s="67">
        <v>0</v>
      </c>
      <c r="N164" s="40">
        <v>0.04</v>
      </c>
      <c r="O164" s="107">
        <v>0</v>
      </c>
      <c r="P164" s="40">
        <v>0.28</v>
      </c>
      <c r="Q164" s="97">
        <v>5.8</v>
      </c>
      <c r="R164" s="74">
        <v>30</v>
      </c>
      <c r="S164" s="41">
        <v>9.4</v>
      </c>
      <c r="T164" s="40">
        <v>0.78</v>
      </c>
      <c r="U164" s="60">
        <v>50.08</v>
      </c>
      <c r="V164" s="34">
        <f>C164*U164/1000</f>
        <v>2.0031999999999996</v>
      </c>
    </row>
    <row r="165" spans="1:22" s="7" customFormat="1" ht="31.5">
      <c r="A165" s="276" t="s">
        <v>198</v>
      </c>
      <c r="B165" s="317"/>
      <c r="C165" s="277">
        <v>825</v>
      </c>
      <c r="D165" s="277"/>
      <c r="E165" s="278"/>
      <c r="F165" s="413">
        <f aca="true" t="shared" si="11" ref="F165:T165">F132+F134+F150+F155+F160+F164</f>
        <v>30.42</v>
      </c>
      <c r="G165" s="413">
        <f t="shared" si="11"/>
        <v>30.129999999999995</v>
      </c>
      <c r="H165" s="413">
        <f t="shared" si="11"/>
        <v>111.58</v>
      </c>
      <c r="I165" s="413">
        <f t="shared" si="11"/>
        <v>832</v>
      </c>
      <c r="J165" s="413">
        <f t="shared" si="11"/>
        <v>10.91</v>
      </c>
      <c r="K165" s="413">
        <f t="shared" si="11"/>
        <v>0</v>
      </c>
      <c r="L165" s="413">
        <f t="shared" si="11"/>
        <v>0</v>
      </c>
      <c r="M165" s="413">
        <f t="shared" si="11"/>
        <v>10.45</v>
      </c>
      <c r="N165" s="413">
        <f t="shared" si="11"/>
        <v>0.18400000000000002</v>
      </c>
      <c r="O165" s="413">
        <f t="shared" si="11"/>
        <v>49.6</v>
      </c>
      <c r="P165" s="413">
        <f t="shared" si="11"/>
        <v>8.38</v>
      </c>
      <c r="Q165" s="413">
        <f t="shared" si="11"/>
        <v>426.32</v>
      </c>
      <c r="R165" s="413">
        <f t="shared" si="11"/>
        <v>722.0600000000001</v>
      </c>
      <c r="S165" s="413">
        <f t="shared" si="11"/>
        <v>179.58</v>
      </c>
      <c r="T165" s="413">
        <f t="shared" si="11"/>
        <v>7.254000000000001</v>
      </c>
      <c r="U165" s="413"/>
      <c r="V165" s="413">
        <f>V132+V134+V150+V155+V160+V164</f>
        <v>133.00819399999997</v>
      </c>
    </row>
    <row r="166" spans="1:22" s="10" customFormat="1" ht="31.5">
      <c r="A166" s="280" t="s">
        <v>199</v>
      </c>
      <c r="B166" s="318"/>
      <c r="C166" s="281" t="s">
        <v>200</v>
      </c>
      <c r="D166" s="282"/>
      <c r="E166" s="282"/>
      <c r="F166" s="414">
        <f aca="true" t="shared" si="12" ref="F166:T166">F130+F165</f>
        <v>52.22</v>
      </c>
      <c r="G166" s="414">
        <f t="shared" si="12"/>
        <v>52.919999999999995</v>
      </c>
      <c r="H166" s="414">
        <f t="shared" si="12"/>
        <v>161.88</v>
      </c>
      <c r="I166" s="414">
        <f t="shared" si="12"/>
        <v>1466</v>
      </c>
      <c r="J166" s="414">
        <f t="shared" si="12"/>
        <v>15.91</v>
      </c>
      <c r="K166" s="414">
        <f t="shared" si="12"/>
        <v>0</v>
      </c>
      <c r="L166" s="414">
        <f t="shared" si="12"/>
        <v>0</v>
      </c>
      <c r="M166" s="414">
        <f t="shared" si="12"/>
        <v>16.97</v>
      </c>
      <c r="N166" s="414">
        <f t="shared" si="12"/>
        <v>0.5940000000000001</v>
      </c>
      <c r="O166" s="414">
        <f t="shared" si="12"/>
        <v>244.6</v>
      </c>
      <c r="P166" s="414">
        <f t="shared" si="12"/>
        <v>10.020000000000001</v>
      </c>
      <c r="Q166" s="414">
        <f t="shared" si="12"/>
        <v>1246.22</v>
      </c>
      <c r="R166" s="414">
        <f t="shared" si="12"/>
        <v>1473.6599999999999</v>
      </c>
      <c r="S166" s="414">
        <f t="shared" si="12"/>
        <v>281.26</v>
      </c>
      <c r="T166" s="414">
        <f t="shared" si="12"/>
        <v>30.614000000000004</v>
      </c>
      <c r="U166" s="414"/>
      <c r="V166" s="414">
        <f>V130+V165</f>
        <v>227.31206099999997</v>
      </c>
    </row>
    <row r="167" spans="1:21" s="6" customFormat="1" ht="18.75">
      <c r="A167" s="258" t="s">
        <v>206</v>
      </c>
      <c r="B167" s="259"/>
      <c r="C167" s="260"/>
      <c r="D167" s="261"/>
      <c r="E167" s="258"/>
      <c r="F167" s="262"/>
      <c r="G167" s="263"/>
      <c r="H167" s="263"/>
      <c r="I167" s="263"/>
      <c r="J167" s="263"/>
      <c r="K167" s="302"/>
      <c r="L167" s="303"/>
      <c r="M167" s="306"/>
      <c r="N167" s="306"/>
      <c r="O167" s="306"/>
      <c r="P167" s="306"/>
      <c r="Q167" s="306"/>
      <c r="R167" s="306"/>
      <c r="S167" s="306"/>
      <c r="T167" s="307"/>
      <c r="U167" s="268"/>
    </row>
    <row r="168" spans="1:22" s="10" customFormat="1" ht="15.75">
      <c r="A168" s="264" t="s">
        <v>52</v>
      </c>
      <c r="B168" s="308"/>
      <c r="C168" s="264"/>
      <c r="D168" s="265"/>
      <c r="E168" s="266"/>
      <c r="F168" s="267"/>
      <c r="G168" s="267"/>
      <c r="H168" s="267"/>
      <c r="I168" s="267"/>
      <c r="J168" s="267"/>
      <c r="K168" s="309"/>
      <c r="L168" s="309" t="e">
        <f>SUM(#REF!+#REF!+#REF!+#REF!+#REF!+#REF!)</f>
        <v>#REF!</v>
      </c>
      <c r="M168" s="309"/>
      <c r="N168" s="309"/>
      <c r="O168" s="309"/>
      <c r="P168" s="309"/>
      <c r="Q168" s="309"/>
      <c r="R168" s="309"/>
      <c r="S168" s="309"/>
      <c r="T168" s="309"/>
      <c r="U168" s="3"/>
      <c r="V168" s="6"/>
    </row>
    <row r="169" spans="2:22" s="10" customFormat="1" ht="14.25">
      <c r="B169" s="200" t="s">
        <v>46</v>
      </c>
      <c r="C169" s="52" t="s">
        <v>47</v>
      </c>
      <c r="D169" s="15"/>
      <c r="E169" s="48"/>
      <c r="F169" s="18">
        <v>7.3</v>
      </c>
      <c r="G169" s="53">
        <v>5.6</v>
      </c>
      <c r="H169" s="53">
        <v>13.4</v>
      </c>
      <c r="I169" s="103">
        <v>164</v>
      </c>
      <c r="J169" s="103">
        <v>1.3</v>
      </c>
      <c r="K169" s="53"/>
      <c r="L169" s="53"/>
      <c r="M169" s="53">
        <v>0.14</v>
      </c>
      <c r="N169" s="53">
        <v>0.05</v>
      </c>
      <c r="O169" s="53">
        <v>48</v>
      </c>
      <c r="P169" s="53">
        <v>0.5</v>
      </c>
      <c r="Q169" s="53">
        <v>206.9</v>
      </c>
      <c r="R169" s="117">
        <v>146.8</v>
      </c>
      <c r="S169" s="53">
        <v>20.9</v>
      </c>
      <c r="T169" s="53">
        <v>0.74</v>
      </c>
      <c r="U169" s="53"/>
      <c r="V169" s="351">
        <f>SUM(V170:V171)</f>
        <v>16.9024</v>
      </c>
    </row>
    <row r="170" spans="2:22" s="12" customFormat="1" ht="15">
      <c r="B170" s="137" t="s">
        <v>237</v>
      </c>
      <c r="C170" s="49"/>
      <c r="D170" s="46">
        <v>30</v>
      </c>
      <c r="E170" s="50">
        <v>30</v>
      </c>
      <c r="F170" s="23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105"/>
      <c r="S170" s="51"/>
      <c r="T170" s="51"/>
      <c r="U170" s="51">
        <v>50.08</v>
      </c>
      <c r="V170" s="410">
        <f>D170*U170/1000</f>
        <v>1.5024</v>
      </c>
    </row>
    <row r="171" spans="2:22" s="12" customFormat="1" ht="15">
      <c r="B171" s="136" t="s">
        <v>39</v>
      </c>
      <c r="C171" s="49"/>
      <c r="D171" s="46">
        <v>22</v>
      </c>
      <c r="E171" s="50">
        <v>20</v>
      </c>
      <c r="F171" s="23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105"/>
      <c r="S171" s="51"/>
      <c r="T171" s="51"/>
      <c r="U171" s="51">
        <v>700</v>
      </c>
      <c r="V171" s="410">
        <f>D171*U171/1000</f>
        <v>15.4</v>
      </c>
    </row>
    <row r="172" spans="2:22" s="43" customFormat="1" ht="31.5">
      <c r="B172" s="134" t="s">
        <v>253</v>
      </c>
      <c r="C172" s="72" t="s">
        <v>91</v>
      </c>
      <c r="D172" s="42"/>
      <c r="E172" s="66"/>
      <c r="F172" s="67">
        <v>6.7</v>
      </c>
      <c r="G172" s="68">
        <v>8.7</v>
      </c>
      <c r="H172" s="94">
        <v>23.4</v>
      </c>
      <c r="I172" s="104">
        <v>233</v>
      </c>
      <c r="J172" s="104">
        <v>2.3</v>
      </c>
      <c r="K172" s="68"/>
      <c r="L172" s="68"/>
      <c r="M172" s="68">
        <v>0.5</v>
      </c>
      <c r="N172" s="68">
        <v>0.2</v>
      </c>
      <c r="O172" s="104">
        <v>40.4</v>
      </c>
      <c r="P172" s="68">
        <v>0.6</v>
      </c>
      <c r="Q172" s="94">
        <v>137.6</v>
      </c>
      <c r="R172" s="104">
        <v>181.1</v>
      </c>
      <c r="S172" s="94">
        <v>51.1</v>
      </c>
      <c r="T172" s="68">
        <v>1.2</v>
      </c>
      <c r="U172" s="68"/>
      <c r="V172" s="351">
        <f>SUM(V173:V177)</f>
        <v>12.151805</v>
      </c>
    </row>
    <row r="173" spans="2:22" s="12" customFormat="1" ht="15">
      <c r="B173" s="137" t="s">
        <v>36</v>
      </c>
      <c r="C173" s="49"/>
      <c r="D173" s="46">
        <v>31</v>
      </c>
      <c r="E173" s="50">
        <v>31</v>
      </c>
      <c r="F173" s="23"/>
      <c r="G173" s="51"/>
      <c r="H173" s="51"/>
      <c r="I173" s="51"/>
      <c r="J173" s="51"/>
      <c r="K173" s="51"/>
      <c r="L173" s="51"/>
      <c r="M173" s="51"/>
      <c r="N173" s="51"/>
      <c r="O173" s="105"/>
      <c r="P173" s="51"/>
      <c r="Q173" s="95"/>
      <c r="R173" s="105"/>
      <c r="S173" s="51"/>
      <c r="T173" s="51"/>
      <c r="U173" s="51">
        <v>123</v>
      </c>
      <c r="V173" s="410">
        <f>D173*U173/1000</f>
        <v>3.813</v>
      </c>
    </row>
    <row r="174" spans="2:22" s="12" customFormat="1" ht="15">
      <c r="B174" s="137" t="s">
        <v>86</v>
      </c>
      <c r="C174" s="49"/>
      <c r="D174" s="46">
        <v>100</v>
      </c>
      <c r="E174" s="50">
        <v>100</v>
      </c>
      <c r="F174" s="23"/>
      <c r="G174" s="51"/>
      <c r="H174" s="51"/>
      <c r="I174" s="51"/>
      <c r="J174" s="51"/>
      <c r="K174" s="51"/>
      <c r="L174" s="51"/>
      <c r="M174" s="51"/>
      <c r="N174" s="51"/>
      <c r="O174" s="105"/>
      <c r="P174" s="51"/>
      <c r="Q174" s="95"/>
      <c r="R174" s="105"/>
      <c r="S174" s="51"/>
      <c r="T174" s="51"/>
      <c r="U174" s="51">
        <v>55.18</v>
      </c>
      <c r="V174" s="410">
        <f>D174*U174/1000</f>
        <v>5.518</v>
      </c>
    </row>
    <row r="175" spans="2:22" s="12" customFormat="1" ht="15">
      <c r="B175" s="137" t="s">
        <v>54</v>
      </c>
      <c r="C175" s="49"/>
      <c r="D175" s="46">
        <v>72</v>
      </c>
      <c r="E175" s="50">
        <v>72</v>
      </c>
      <c r="F175" s="23"/>
      <c r="G175" s="51"/>
      <c r="H175" s="51"/>
      <c r="I175" s="51"/>
      <c r="J175" s="51"/>
      <c r="K175" s="51"/>
      <c r="L175" s="51"/>
      <c r="M175" s="51"/>
      <c r="N175" s="51"/>
      <c r="O175" s="105"/>
      <c r="P175" s="51"/>
      <c r="Q175" s="95"/>
      <c r="R175" s="105"/>
      <c r="S175" s="51"/>
      <c r="T175" s="51"/>
      <c r="U175" s="51"/>
      <c r="V175" s="410">
        <f>D175*U175/1000</f>
        <v>0</v>
      </c>
    </row>
    <row r="176" spans="2:22" s="12" customFormat="1" ht="15">
      <c r="B176" s="137" t="s">
        <v>14</v>
      </c>
      <c r="C176" s="49"/>
      <c r="D176" s="46">
        <v>0.45</v>
      </c>
      <c r="E176" s="50">
        <v>0.45</v>
      </c>
      <c r="F176" s="23"/>
      <c r="G176" s="51"/>
      <c r="H176" s="51"/>
      <c r="I176" s="51"/>
      <c r="J176" s="51"/>
      <c r="K176" s="51"/>
      <c r="L176" s="51"/>
      <c r="M176" s="51"/>
      <c r="N176" s="51"/>
      <c r="O176" s="105"/>
      <c r="P176" s="51"/>
      <c r="Q176" s="95"/>
      <c r="R176" s="105"/>
      <c r="S176" s="51"/>
      <c r="T176" s="51"/>
      <c r="U176" s="51">
        <v>11.9</v>
      </c>
      <c r="V176" s="410">
        <f>D176*U176/1000</f>
        <v>0.005355</v>
      </c>
    </row>
    <row r="177" spans="2:22" s="12" customFormat="1" ht="15">
      <c r="B177" s="136" t="s">
        <v>58</v>
      </c>
      <c r="C177" s="49"/>
      <c r="D177" s="46">
        <v>5</v>
      </c>
      <c r="E177" s="50" t="s">
        <v>227</v>
      </c>
      <c r="F177" s="23"/>
      <c r="G177" s="51"/>
      <c r="H177" s="51"/>
      <c r="I177" s="51"/>
      <c r="J177" s="51"/>
      <c r="K177" s="51"/>
      <c r="L177" s="51"/>
      <c r="M177" s="51"/>
      <c r="N177" s="51"/>
      <c r="O177" s="105"/>
      <c r="P177" s="51"/>
      <c r="Q177" s="95"/>
      <c r="R177" s="105"/>
      <c r="S177" s="51"/>
      <c r="T177" s="51"/>
      <c r="U177" s="51">
        <v>563.09</v>
      </c>
      <c r="V177" s="410">
        <f>D177*U177/1000</f>
        <v>2.8154500000000002</v>
      </c>
    </row>
    <row r="178" spans="2:22" s="43" customFormat="1" ht="15.75">
      <c r="B178" s="122" t="s">
        <v>119</v>
      </c>
      <c r="C178" s="40" t="s">
        <v>41</v>
      </c>
      <c r="D178" s="40"/>
      <c r="E178" s="40"/>
      <c r="F178" s="40">
        <v>0.01</v>
      </c>
      <c r="G178" s="41">
        <v>0</v>
      </c>
      <c r="H178" s="41">
        <v>1.1</v>
      </c>
      <c r="I178" s="40">
        <v>45</v>
      </c>
      <c r="J178" s="40">
        <v>0.1</v>
      </c>
      <c r="K178" s="40"/>
      <c r="L178" s="37"/>
      <c r="M178" s="42">
        <v>1.1</v>
      </c>
      <c r="N178" s="74">
        <v>0</v>
      </c>
      <c r="O178" s="107">
        <v>0.1</v>
      </c>
      <c r="P178" s="41">
        <v>0</v>
      </c>
      <c r="Q178" s="97">
        <v>2.8</v>
      </c>
      <c r="R178" s="87">
        <v>1.8</v>
      </c>
      <c r="S178" s="40">
        <v>0.76</v>
      </c>
      <c r="T178" s="40">
        <v>0.07</v>
      </c>
      <c r="U178" s="37"/>
      <c r="V178" s="351">
        <f>SUM(V179:V180)</f>
        <v>2.38809</v>
      </c>
    </row>
    <row r="179" spans="2:22" s="6" customFormat="1" ht="15.75">
      <c r="B179" s="151" t="s">
        <v>93</v>
      </c>
      <c r="C179" s="40"/>
      <c r="D179" s="69">
        <v>1</v>
      </c>
      <c r="E179" s="69">
        <v>1</v>
      </c>
      <c r="F179" s="71"/>
      <c r="G179" s="71"/>
      <c r="H179" s="71"/>
      <c r="I179" s="71"/>
      <c r="J179" s="71"/>
      <c r="K179" s="71"/>
      <c r="L179" s="36"/>
      <c r="M179" s="189"/>
      <c r="N179" s="71"/>
      <c r="O179" s="190"/>
      <c r="P179" s="71"/>
      <c r="Q179" s="191"/>
      <c r="R179" s="203"/>
      <c r="S179" s="71"/>
      <c r="T179" s="71"/>
      <c r="U179" s="60">
        <v>540.09</v>
      </c>
      <c r="V179" s="410">
        <f>D179*U179/1000</f>
        <v>0.5400900000000001</v>
      </c>
    </row>
    <row r="180" spans="2:22" s="6" customFormat="1" ht="15.75">
      <c r="B180" s="151" t="s">
        <v>94</v>
      </c>
      <c r="C180" s="40"/>
      <c r="D180" s="69">
        <v>12</v>
      </c>
      <c r="E180" s="69">
        <v>10</v>
      </c>
      <c r="F180" s="71"/>
      <c r="G180" s="71"/>
      <c r="H180" s="71"/>
      <c r="I180" s="71"/>
      <c r="J180" s="71"/>
      <c r="K180" s="71"/>
      <c r="L180" s="36"/>
      <c r="M180" s="71"/>
      <c r="N180" s="71"/>
      <c r="O180" s="152"/>
      <c r="P180" s="71"/>
      <c r="Q180" s="153"/>
      <c r="R180" s="203"/>
      <c r="S180" s="71"/>
      <c r="T180" s="71"/>
      <c r="U180" s="60">
        <v>154</v>
      </c>
      <c r="V180" s="410">
        <f>D180*U180/1000</f>
        <v>1.848</v>
      </c>
    </row>
    <row r="181" spans="2:22" s="70" customFormat="1" ht="15.75">
      <c r="B181" s="123" t="s">
        <v>53</v>
      </c>
      <c r="C181" s="40">
        <v>20</v>
      </c>
      <c r="D181" s="69"/>
      <c r="E181" s="69"/>
      <c r="F181" s="40">
        <v>1.4</v>
      </c>
      <c r="G181" s="40">
        <v>0.24</v>
      </c>
      <c r="H181" s="40">
        <v>7.8</v>
      </c>
      <c r="I181" s="87">
        <v>40</v>
      </c>
      <c r="J181" s="87">
        <v>0.8</v>
      </c>
      <c r="K181" s="40"/>
      <c r="L181" s="40"/>
      <c r="M181" s="67">
        <v>0</v>
      </c>
      <c r="N181" s="40">
        <v>0.04</v>
      </c>
      <c r="O181" s="107">
        <v>0</v>
      </c>
      <c r="P181" s="40">
        <v>0.28</v>
      </c>
      <c r="Q181" s="97">
        <v>5.8</v>
      </c>
      <c r="R181" s="87">
        <v>30</v>
      </c>
      <c r="S181" s="41">
        <v>9.4</v>
      </c>
      <c r="T181" s="40">
        <v>0.78</v>
      </c>
      <c r="U181" s="60">
        <v>50.08</v>
      </c>
      <c r="V181" s="351">
        <f>C181*U181/1000</f>
        <v>1.0015999999999998</v>
      </c>
    </row>
    <row r="182" spans="1:22" s="11" customFormat="1" ht="31.5">
      <c r="A182" s="270" t="s">
        <v>197</v>
      </c>
      <c r="B182" s="271"/>
      <c r="C182" s="272" t="s">
        <v>215</v>
      </c>
      <c r="D182" s="271"/>
      <c r="E182" s="273"/>
      <c r="F182" s="287">
        <f aca="true" t="shared" si="13" ref="F182:T182">F169+F172+F178+F181</f>
        <v>15.41</v>
      </c>
      <c r="G182" s="287">
        <f t="shared" si="13"/>
        <v>14.54</v>
      </c>
      <c r="H182" s="287">
        <f t="shared" si="13"/>
        <v>45.699999999999996</v>
      </c>
      <c r="I182" s="287">
        <f t="shared" si="13"/>
        <v>482</v>
      </c>
      <c r="J182" s="287">
        <f t="shared" si="13"/>
        <v>4.5</v>
      </c>
      <c r="K182" s="287">
        <f t="shared" si="13"/>
        <v>0</v>
      </c>
      <c r="L182" s="287">
        <f t="shared" si="13"/>
        <v>0</v>
      </c>
      <c r="M182" s="287">
        <f t="shared" si="13"/>
        <v>1.7400000000000002</v>
      </c>
      <c r="N182" s="287">
        <f t="shared" si="13"/>
        <v>0.29</v>
      </c>
      <c r="O182" s="287">
        <f t="shared" si="13"/>
        <v>88.5</v>
      </c>
      <c r="P182" s="287">
        <f t="shared" si="13"/>
        <v>1.3800000000000001</v>
      </c>
      <c r="Q182" s="287">
        <f t="shared" si="13"/>
        <v>353.1</v>
      </c>
      <c r="R182" s="287">
        <f t="shared" si="13"/>
        <v>359.7</v>
      </c>
      <c r="S182" s="287">
        <f t="shared" si="13"/>
        <v>82.16000000000001</v>
      </c>
      <c r="T182" s="287">
        <f t="shared" si="13"/>
        <v>2.79</v>
      </c>
      <c r="U182" s="287"/>
      <c r="V182" s="287">
        <f>V169+V172+V178+V181</f>
        <v>32.443895</v>
      </c>
    </row>
    <row r="183" spans="1:22" s="10" customFormat="1" ht="15.75">
      <c r="A183" s="264" t="s">
        <v>11</v>
      </c>
      <c r="B183" s="308"/>
      <c r="C183" s="264"/>
      <c r="D183" s="265"/>
      <c r="E183" s="266"/>
      <c r="F183" s="267"/>
      <c r="G183" s="267"/>
      <c r="H183" s="267"/>
      <c r="I183" s="267"/>
      <c r="J183" s="267"/>
      <c r="K183" s="309" t="e">
        <f>SUM(#REF!+#REF!+#REF!+#REF!+#REF!+#REF!+#REF!+#REF!)</f>
        <v>#REF!</v>
      </c>
      <c r="L183" s="309" t="e">
        <f>SUM(#REF!+#REF!+#REF!+#REF!+#REF!+#REF!+#REF!+#REF!)</f>
        <v>#REF!</v>
      </c>
      <c r="M183" s="309"/>
      <c r="N183" s="309"/>
      <c r="O183" s="309"/>
      <c r="P183" s="309"/>
      <c r="Q183" s="309"/>
      <c r="R183" s="309"/>
      <c r="S183" s="309"/>
      <c r="T183" s="309"/>
      <c r="U183" s="7"/>
      <c r="V183" s="45"/>
    </row>
    <row r="184" spans="2:206" s="45" customFormat="1" ht="31.5">
      <c r="B184" s="119" t="s">
        <v>246</v>
      </c>
      <c r="C184" s="33">
        <v>30</v>
      </c>
      <c r="D184" s="35">
        <v>50</v>
      </c>
      <c r="E184" s="35">
        <v>30</v>
      </c>
      <c r="F184" s="33">
        <v>0.6</v>
      </c>
      <c r="G184" s="33">
        <v>0.1</v>
      </c>
      <c r="H184" s="33">
        <v>3.2</v>
      </c>
      <c r="I184" s="33">
        <v>16</v>
      </c>
      <c r="J184" s="33">
        <v>0.3</v>
      </c>
      <c r="K184" s="36"/>
      <c r="L184" s="36"/>
      <c r="M184" s="31">
        <v>3.2</v>
      </c>
      <c r="N184" s="33">
        <v>0.004</v>
      </c>
      <c r="O184" s="34">
        <v>0</v>
      </c>
      <c r="P184" s="34">
        <v>0.2</v>
      </c>
      <c r="Q184" s="30">
        <v>6.5</v>
      </c>
      <c r="R184" s="33">
        <v>8.2</v>
      </c>
      <c r="S184" s="33">
        <v>2.6</v>
      </c>
      <c r="T184" s="33">
        <v>0.24</v>
      </c>
      <c r="U184" s="60">
        <v>180.42</v>
      </c>
      <c r="V184" s="34">
        <f>D184*U184/1000</f>
        <v>9.021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</row>
    <row r="185" spans="2:22" s="4" customFormat="1" ht="28.5">
      <c r="B185" s="348" t="s">
        <v>228</v>
      </c>
      <c r="C185" s="349" t="s">
        <v>144</v>
      </c>
      <c r="D185" s="25"/>
      <c r="E185" s="25"/>
      <c r="F185" s="25">
        <v>6.4</v>
      </c>
      <c r="G185" s="25">
        <v>6.4</v>
      </c>
      <c r="H185" s="25">
        <v>26.8</v>
      </c>
      <c r="I185" s="25">
        <v>286</v>
      </c>
      <c r="J185" s="25">
        <v>2.3</v>
      </c>
      <c r="K185" s="25"/>
      <c r="L185" s="25"/>
      <c r="M185" s="25">
        <v>19.8</v>
      </c>
      <c r="N185" s="25">
        <v>0.08</v>
      </c>
      <c r="O185" s="25">
        <v>0</v>
      </c>
      <c r="P185" s="25">
        <v>2.9</v>
      </c>
      <c r="Q185" s="25">
        <v>74.1</v>
      </c>
      <c r="R185" s="231">
        <v>61.3</v>
      </c>
      <c r="S185" s="25">
        <v>27.6</v>
      </c>
      <c r="T185" s="25">
        <v>1</v>
      </c>
      <c r="U185" s="25"/>
      <c r="V185" s="34">
        <f>SUM(V186:V198)</f>
        <v>21.051625</v>
      </c>
    </row>
    <row r="186" spans="2:22" s="45" customFormat="1" ht="15.75">
      <c r="B186" s="135" t="s">
        <v>251</v>
      </c>
      <c r="C186" s="25"/>
      <c r="D186" s="32">
        <v>30.5</v>
      </c>
      <c r="E186" s="32">
        <v>29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04"/>
      <c r="S186" s="24"/>
      <c r="T186" s="24"/>
      <c r="U186" s="39">
        <v>344.5</v>
      </c>
      <c r="V186" s="60">
        <f>D186*U186/1000</f>
        <v>10.50725</v>
      </c>
    </row>
    <row r="187" spans="2:22" s="45" customFormat="1" ht="15.75">
      <c r="B187" s="135" t="s">
        <v>2</v>
      </c>
      <c r="C187" s="25"/>
      <c r="D187" s="32">
        <v>62.5</v>
      </c>
      <c r="E187" s="32">
        <v>50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04"/>
      <c r="S187" s="24"/>
      <c r="T187" s="24"/>
      <c r="U187" s="39">
        <v>39.19</v>
      </c>
      <c r="V187" s="60">
        <f aca="true" t="shared" si="14" ref="V187:V198">D187*U187/1000</f>
        <v>2.449375</v>
      </c>
    </row>
    <row r="188" spans="2:22" s="45" customFormat="1" ht="15.75">
      <c r="B188" s="135" t="s">
        <v>17</v>
      </c>
      <c r="C188" s="25"/>
      <c r="D188" s="32">
        <v>40</v>
      </c>
      <c r="E188" s="32">
        <v>30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04"/>
      <c r="S188" s="24"/>
      <c r="T188" s="24"/>
      <c r="U188" s="39">
        <v>50.25</v>
      </c>
      <c r="V188" s="60">
        <f t="shared" si="14"/>
        <v>2.01</v>
      </c>
    </row>
    <row r="189" spans="2:22" s="45" customFormat="1" ht="15.75">
      <c r="B189" s="135" t="s">
        <v>130</v>
      </c>
      <c r="C189" s="25"/>
      <c r="D189" s="32">
        <v>43</v>
      </c>
      <c r="E189" s="32">
        <v>30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04"/>
      <c r="S189" s="24"/>
      <c r="T189" s="24"/>
      <c r="U189" s="39"/>
      <c r="V189" s="60">
        <f t="shared" si="14"/>
        <v>0</v>
      </c>
    </row>
    <row r="190" spans="2:22" s="45" customFormat="1" ht="15.75">
      <c r="B190" s="135" t="s">
        <v>18</v>
      </c>
      <c r="C190" s="25"/>
      <c r="D190" s="32">
        <v>46</v>
      </c>
      <c r="E190" s="32">
        <v>30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04"/>
      <c r="S190" s="24"/>
      <c r="T190" s="24"/>
      <c r="U190" s="39"/>
      <c r="V190" s="60">
        <f t="shared" si="14"/>
        <v>0</v>
      </c>
    </row>
    <row r="191" spans="2:22" s="45" customFormat="1" ht="15.75">
      <c r="B191" s="135" t="s">
        <v>132</v>
      </c>
      <c r="C191" s="25"/>
      <c r="D191" s="32">
        <v>49</v>
      </c>
      <c r="E191" s="32">
        <v>30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04"/>
      <c r="S191" s="24"/>
      <c r="T191" s="24"/>
      <c r="U191" s="39"/>
      <c r="V191" s="60">
        <f t="shared" si="14"/>
        <v>0</v>
      </c>
    </row>
    <row r="192" spans="2:22" s="45" customFormat="1" ht="15.75">
      <c r="B192" s="135" t="s">
        <v>133</v>
      </c>
      <c r="C192" s="25"/>
      <c r="D192" s="32">
        <v>15</v>
      </c>
      <c r="E192" s="32">
        <v>12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04"/>
      <c r="S192" s="24"/>
      <c r="T192" s="24"/>
      <c r="U192" s="39">
        <v>81.72</v>
      </c>
      <c r="V192" s="60">
        <f t="shared" si="14"/>
        <v>1.2258</v>
      </c>
    </row>
    <row r="193" spans="2:22" s="45" customFormat="1" ht="15.75">
      <c r="B193" s="135" t="s">
        <v>104</v>
      </c>
      <c r="C193" s="25"/>
      <c r="D193" s="32">
        <v>16</v>
      </c>
      <c r="E193" s="32">
        <v>12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04"/>
      <c r="S193" s="24"/>
      <c r="T193" s="24"/>
      <c r="U193" s="39"/>
      <c r="V193" s="60">
        <f t="shared" si="14"/>
        <v>0</v>
      </c>
    </row>
    <row r="194" spans="2:22" s="45" customFormat="1" ht="15.75">
      <c r="B194" s="135" t="s">
        <v>55</v>
      </c>
      <c r="C194" s="25"/>
      <c r="D194" s="32">
        <v>12</v>
      </c>
      <c r="E194" s="32">
        <v>10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04"/>
      <c r="S194" s="24"/>
      <c r="T194" s="24"/>
      <c r="U194" s="39">
        <v>32.75</v>
      </c>
      <c r="V194" s="60">
        <f t="shared" si="14"/>
        <v>0.393</v>
      </c>
    </row>
    <row r="195" spans="2:22" s="45" customFormat="1" ht="15.75">
      <c r="B195" s="135" t="s">
        <v>58</v>
      </c>
      <c r="C195" s="25"/>
      <c r="D195" s="32">
        <v>5</v>
      </c>
      <c r="E195" s="32">
        <v>5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04"/>
      <c r="S195" s="24"/>
      <c r="T195" s="24"/>
      <c r="U195" s="39">
        <v>653.09</v>
      </c>
      <c r="V195" s="60">
        <f t="shared" si="14"/>
        <v>3.2654500000000004</v>
      </c>
    </row>
    <row r="196" spans="2:22" s="45" customFormat="1" ht="15.75">
      <c r="B196" s="135" t="s">
        <v>90</v>
      </c>
      <c r="C196" s="25"/>
      <c r="D196" s="32">
        <v>5</v>
      </c>
      <c r="E196" s="32">
        <v>5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04"/>
      <c r="S196" s="24"/>
      <c r="T196" s="24"/>
      <c r="U196" s="39">
        <v>237.77</v>
      </c>
      <c r="V196" s="60">
        <f t="shared" si="14"/>
        <v>1.1888500000000002</v>
      </c>
    </row>
    <row r="197" spans="2:22" s="45" customFormat="1" ht="15.75">
      <c r="B197" s="135" t="s">
        <v>135</v>
      </c>
      <c r="C197" s="25"/>
      <c r="D197" s="32">
        <v>190</v>
      </c>
      <c r="E197" s="32">
        <v>190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04"/>
      <c r="S197" s="24"/>
      <c r="T197" s="24"/>
      <c r="U197" s="39"/>
      <c r="V197" s="60">
        <f t="shared" si="14"/>
        <v>0</v>
      </c>
    </row>
    <row r="198" spans="2:22" s="45" customFormat="1" ht="15.75">
      <c r="B198" s="135" t="s">
        <v>14</v>
      </c>
      <c r="C198" s="25"/>
      <c r="D198" s="32">
        <v>1</v>
      </c>
      <c r="E198" s="32">
        <v>1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04"/>
      <c r="S198" s="24"/>
      <c r="T198" s="24"/>
      <c r="U198" s="39">
        <v>11.9</v>
      </c>
      <c r="V198" s="60">
        <f t="shared" si="14"/>
        <v>0.0119</v>
      </c>
    </row>
    <row r="199" spans="2:206" s="85" customFormat="1" ht="31.5">
      <c r="B199" s="133" t="s">
        <v>254</v>
      </c>
      <c r="C199" s="40">
        <v>100</v>
      </c>
      <c r="D199" s="40"/>
      <c r="E199" s="82"/>
      <c r="F199" s="83"/>
      <c r="G199" s="83"/>
      <c r="H199" s="83"/>
      <c r="I199" s="77"/>
      <c r="J199" s="83"/>
      <c r="K199" s="83"/>
      <c r="L199" s="77"/>
      <c r="M199" s="84"/>
      <c r="N199" s="77"/>
      <c r="O199" s="113"/>
      <c r="P199" s="77"/>
      <c r="Q199" s="100"/>
      <c r="R199" s="347"/>
      <c r="S199" s="83"/>
      <c r="T199" s="77"/>
      <c r="U199" s="425"/>
      <c r="V199" s="34">
        <f>SUM(V200:V211)</f>
        <v>42.08681900000001</v>
      </c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</row>
    <row r="200" spans="2:206" s="5" customFormat="1" ht="15.75">
      <c r="B200" s="157" t="s">
        <v>124</v>
      </c>
      <c r="C200" s="69"/>
      <c r="D200" s="69">
        <v>98</v>
      </c>
      <c r="E200" s="160">
        <v>98</v>
      </c>
      <c r="F200" s="159"/>
      <c r="G200" s="159"/>
      <c r="H200" s="159"/>
      <c r="I200" s="71"/>
      <c r="J200" s="159"/>
      <c r="K200" s="159"/>
      <c r="L200" s="71"/>
      <c r="M200" s="165"/>
      <c r="N200" s="71"/>
      <c r="O200" s="166"/>
      <c r="P200" s="71"/>
      <c r="Q200" s="167"/>
      <c r="R200" s="153"/>
      <c r="S200" s="159"/>
      <c r="T200" s="71"/>
      <c r="U200" s="418">
        <v>400</v>
      </c>
      <c r="V200" s="60">
        <f>D200*U200/1000</f>
        <v>39.2</v>
      </c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</row>
    <row r="201" spans="2:206" s="5" customFormat="1" ht="15.75">
      <c r="B201" s="157" t="s">
        <v>57</v>
      </c>
      <c r="C201" s="40"/>
      <c r="D201" s="69">
        <v>5</v>
      </c>
      <c r="E201" s="160">
        <v>5</v>
      </c>
      <c r="F201" s="159"/>
      <c r="G201" s="159"/>
      <c r="H201" s="159"/>
      <c r="I201" s="71"/>
      <c r="J201" s="159"/>
      <c r="K201" s="159"/>
      <c r="L201" s="71"/>
      <c r="M201" s="165"/>
      <c r="N201" s="71"/>
      <c r="O201" s="166"/>
      <c r="P201" s="71"/>
      <c r="Q201" s="167"/>
      <c r="R201" s="153"/>
      <c r="S201" s="159"/>
      <c r="T201" s="71"/>
      <c r="U201" s="418">
        <v>125.7</v>
      </c>
      <c r="V201" s="60">
        <f aca="true" t="shared" si="15" ref="V201:V211">D201*U201/1000</f>
        <v>0.6285</v>
      </c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</row>
    <row r="202" spans="2:206" s="9" customFormat="1" ht="15.75">
      <c r="B202" s="175" t="s">
        <v>6</v>
      </c>
      <c r="C202" s="80"/>
      <c r="D202" s="80"/>
      <c r="E202" s="176">
        <v>30</v>
      </c>
      <c r="F202" s="177"/>
      <c r="G202" s="177"/>
      <c r="H202" s="177"/>
      <c r="I202" s="178"/>
      <c r="J202" s="177"/>
      <c r="K202" s="177"/>
      <c r="L202" s="178"/>
      <c r="M202" s="85"/>
      <c r="N202" s="178"/>
      <c r="O202" s="109"/>
      <c r="P202" s="178"/>
      <c r="Q202" s="179"/>
      <c r="R202" s="346"/>
      <c r="S202" s="177"/>
      <c r="T202" s="178"/>
      <c r="U202" s="426"/>
      <c r="V202" s="60">
        <f t="shared" si="15"/>
        <v>0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</row>
    <row r="203" spans="2:206" s="5" customFormat="1" ht="15.75">
      <c r="B203" s="154" t="s">
        <v>7</v>
      </c>
      <c r="C203" s="40"/>
      <c r="D203" s="69">
        <v>1.8</v>
      </c>
      <c r="E203" s="160">
        <v>1.8</v>
      </c>
      <c r="F203" s="159"/>
      <c r="G203" s="159"/>
      <c r="H203" s="159"/>
      <c r="I203" s="71"/>
      <c r="J203" s="159"/>
      <c r="K203" s="159"/>
      <c r="L203" s="71"/>
      <c r="M203" s="165"/>
      <c r="N203" s="71"/>
      <c r="O203" s="166"/>
      <c r="P203" s="71"/>
      <c r="Q203" s="167"/>
      <c r="R203" s="153"/>
      <c r="S203" s="159"/>
      <c r="T203" s="71"/>
      <c r="U203" s="418">
        <v>653.09</v>
      </c>
      <c r="V203" s="60">
        <f t="shared" si="15"/>
        <v>1.1755620000000002</v>
      </c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</row>
    <row r="204" spans="2:206" s="5" customFormat="1" ht="15.75">
      <c r="B204" s="180" t="s">
        <v>56</v>
      </c>
      <c r="C204" s="80"/>
      <c r="D204" s="181">
        <v>1.4</v>
      </c>
      <c r="E204" s="163">
        <v>1.4</v>
      </c>
      <c r="F204" s="161"/>
      <c r="G204" s="161"/>
      <c r="H204" s="161"/>
      <c r="I204" s="162"/>
      <c r="J204" s="161"/>
      <c r="K204" s="161"/>
      <c r="L204" s="162"/>
      <c r="M204" s="149"/>
      <c r="N204" s="162"/>
      <c r="O204" s="164"/>
      <c r="P204" s="162"/>
      <c r="Q204" s="150"/>
      <c r="R204" s="296"/>
      <c r="S204" s="161"/>
      <c r="T204" s="162"/>
      <c r="U204" s="427">
        <v>39.08</v>
      </c>
      <c r="V204" s="60">
        <f t="shared" si="15"/>
        <v>0.054712</v>
      </c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</row>
    <row r="205" spans="2:206" s="5" customFormat="1" ht="15.75">
      <c r="B205" s="154" t="s">
        <v>8</v>
      </c>
      <c r="C205" s="40"/>
      <c r="D205" s="69">
        <v>2.3</v>
      </c>
      <c r="E205" s="160">
        <v>1.8</v>
      </c>
      <c r="F205" s="159"/>
      <c r="G205" s="159"/>
      <c r="H205" s="159"/>
      <c r="I205" s="71"/>
      <c r="J205" s="159"/>
      <c r="K205" s="159"/>
      <c r="L205" s="71"/>
      <c r="M205" s="165"/>
      <c r="N205" s="71"/>
      <c r="O205" s="166"/>
      <c r="P205" s="71"/>
      <c r="Q205" s="167"/>
      <c r="R205" s="153"/>
      <c r="S205" s="159"/>
      <c r="T205" s="71"/>
      <c r="U205" s="418">
        <v>81.72</v>
      </c>
      <c r="V205" s="60">
        <f t="shared" si="15"/>
        <v>0.18795599999999998</v>
      </c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</row>
    <row r="206" spans="2:206" s="5" customFormat="1" ht="15.75">
      <c r="B206" s="154" t="s">
        <v>104</v>
      </c>
      <c r="C206" s="40"/>
      <c r="D206" s="69">
        <v>2.5</v>
      </c>
      <c r="E206" s="160">
        <v>1.8</v>
      </c>
      <c r="F206" s="159"/>
      <c r="G206" s="159"/>
      <c r="H206" s="159"/>
      <c r="I206" s="71"/>
      <c r="J206" s="159"/>
      <c r="K206" s="159"/>
      <c r="L206" s="71"/>
      <c r="M206" s="165"/>
      <c r="N206" s="71"/>
      <c r="O206" s="166"/>
      <c r="P206" s="71"/>
      <c r="Q206" s="167"/>
      <c r="R206" s="153"/>
      <c r="S206" s="159"/>
      <c r="T206" s="71"/>
      <c r="U206" s="418"/>
      <c r="V206" s="60">
        <f t="shared" si="15"/>
        <v>0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</row>
    <row r="207" spans="2:206" s="5" customFormat="1" ht="15.75">
      <c r="B207" s="154" t="s">
        <v>55</v>
      </c>
      <c r="C207" s="40"/>
      <c r="D207" s="69">
        <v>0.8</v>
      </c>
      <c r="E207" s="160">
        <v>0.6</v>
      </c>
      <c r="F207" s="159"/>
      <c r="G207" s="159"/>
      <c r="H207" s="159"/>
      <c r="I207" s="71"/>
      <c r="J207" s="159"/>
      <c r="K207" s="159"/>
      <c r="L207" s="71"/>
      <c r="M207" s="165"/>
      <c r="N207" s="71"/>
      <c r="O207" s="166"/>
      <c r="P207" s="71"/>
      <c r="Q207" s="167"/>
      <c r="R207" s="153"/>
      <c r="S207" s="159"/>
      <c r="T207" s="71"/>
      <c r="U207" s="418">
        <v>32.75</v>
      </c>
      <c r="V207" s="60">
        <f t="shared" si="15"/>
        <v>0.026200000000000005</v>
      </c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</row>
    <row r="208" spans="2:206" s="5" customFormat="1" ht="15.75">
      <c r="B208" s="157" t="s">
        <v>250</v>
      </c>
      <c r="C208" s="40"/>
      <c r="D208" s="69">
        <v>3</v>
      </c>
      <c r="E208" s="160">
        <v>3</v>
      </c>
      <c r="F208" s="159"/>
      <c r="G208" s="159"/>
      <c r="H208" s="159"/>
      <c r="I208" s="71"/>
      <c r="J208" s="159"/>
      <c r="K208" s="159"/>
      <c r="L208" s="71"/>
      <c r="M208" s="165"/>
      <c r="N208" s="71"/>
      <c r="O208" s="166"/>
      <c r="P208" s="71"/>
      <c r="Q208" s="167"/>
      <c r="R208" s="153"/>
      <c r="S208" s="159"/>
      <c r="T208" s="71"/>
      <c r="U208" s="418">
        <v>264</v>
      </c>
      <c r="V208" s="60">
        <f t="shared" si="15"/>
        <v>0.792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</row>
    <row r="209" spans="2:206" s="5" customFormat="1" ht="15.75">
      <c r="B209" s="157" t="s">
        <v>62</v>
      </c>
      <c r="C209" s="40"/>
      <c r="D209" s="69">
        <v>0.3</v>
      </c>
      <c r="E209" s="160">
        <v>0.3</v>
      </c>
      <c r="F209" s="159"/>
      <c r="G209" s="159"/>
      <c r="H209" s="159"/>
      <c r="I209" s="71"/>
      <c r="J209" s="159"/>
      <c r="K209" s="159"/>
      <c r="L209" s="71"/>
      <c r="M209" s="165"/>
      <c r="N209" s="71"/>
      <c r="O209" s="166"/>
      <c r="P209" s="71"/>
      <c r="Q209" s="167"/>
      <c r="R209" s="153"/>
      <c r="S209" s="159"/>
      <c r="T209" s="71"/>
      <c r="U209" s="418">
        <v>53.13</v>
      </c>
      <c r="V209" s="60">
        <f t="shared" si="15"/>
        <v>0.015939000000000002</v>
      </c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</row>
    <row r="210" spans="2:206" s="5" customFormat="1" ht="15.75">
      <c r="B210" s="157" t="s">
        <v>9</v>
      </c>
      <c r="C210" s="40"/>
      <c r="D210" s="69">
        <v>27</v>
      </c>
      <c r="E210" s="160">
        <v>27</v>
      </c>
      <c r="F210" s="159"/>
      <c r="G210" s="159"/>
      <c r="H210" s="159"/>
      <c r="I210" s="71"/>
      <c r="J210" s="159"/>
      <c r="K210" s="159"/>
      <c r="L210" s="71"/>
      <c r="M210" s="165"/>
      <c r="N210" s="71"/>
      <c r="O210" s="166"/>
      <c r="P210" s="71"/>
      <c r="Q210" s="167"/>
      <c r="R210" s="153"/>
      <c r="S210" s="159"/>
      <c r="T210" s="71"/>
      <c r="U210" s="418"/>
      <c r="V210" s="60">
        <f t="shared" si="15"/>
        <v>0</v>
      </c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</row>
    <row r="211" spans="2:206" s="5" customFormat="1" ht="15.75">
      <c r="B211" s="157" t="s">
        <v>14</v>
      </c>
      <c r="C211" s="40"/>
      <c r="D211" s="69">
        <v>0.5</v>
      </c>
      <c r="E211" s="160">
        <v>0.5</v>
      </c>
      <c r="F211" s="159"/>
      <c r="G211" s="159"/>
      <c r="H211" s="159"/>
      <c r="I211" s="71"/>
      <c r="J211" s="159"/>
      <c r="K211" s="159"/>
      <c r="L211" s="71"/>
      <c r="M211" s="165"/>
      <c r="N211" s="71"/>
      <c r="O211" s="166"/>
      <c r="P211" s="71"/>
      <c r="Q211" s="167"/>
      <c r="R211" s="153"/>
      <c r="S211" s="159"/>
      <c r="T211" s="71"/>
      <c r="U211" s="418">
        <v>11.9</v>
      </c>
      <c r="V211" s="60">
        <f t="shared" si="15"/>
        <v>0.00595</v>
      </c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</row>
    <row r="212" spans="2:22" s="88" customFormat="1" ht="15.75">
      <c r="B212" s="145" t="s">
        <v>4</v>
      </c>
      <c r="C212" s="87">
        <v>180</v>
      </c>
      <c r="D212" s="41"/>
      <c r="E212" s="41"/>
      <c r="F212" s="41">
        <v>4.07</v>
      </c>
      <c r="G212" s="74">
        <v>6.3</v>
      </c>
      <c r="H212" s="74">
        <v>35</v>
      </c>
      <c r="I212" s="87">
        <v>142</v>
      </c>
      <c r="J212" s="87">
        <v>3.6</v>
      </c>
      <c r="K212" s="41"/>
      <c r="L212" s="41"/>
      <c r="M212" s="41">
        <v>1.7</v>
      </c>
      <c r="N212" s="41">
        <v>0.08</v>
      </c>
      <c r="O212" s="87">
        <v>0.02</v>
      </c>
      <c r="P212" s="41">
        <v>0.65</v>
      </c>
      <c r="Q212" s="74">
        <v>20.6</v>
      </c>
      <c r="R212" s="74">
        <v>113.2</v>
      </c>
      <c r="S212" s="41">
        <v>52.2</v>
      </c>
      <c r="T212" s="41">
        <v>2.5</v>
      </c>
      <c r="U212" s="34"/>
      <c r="V212" s="34">
        <f>SUM(V213:V216)</f>
        <v>7.165080000000001</v>
      </c>
    </row>
    <row r="213" spans="1:22" s="6" customFormat="1" ht="15.75">
      <c r="A213" s="70"/>
      <c r="B213" s="151" t="s">
        <v>61</v>
      </c>
      <c r="C213" s="40"/>
      <c r="D213" s="69">
        <v>42</v>
      </c>
      <c r="E213" s="69">
        <v>42</v>
      </c>
      <c r="F213" s="71"/>
      <c r="G213" s="71"/>
      <c r="H213" s="71"/>
      <c r="I213" s="71"/>
      <c r="J213" s="71"/>
      <c r="K213" s="71"/>
      <c r="L213" s="71"/>
      <c r="M213" s="71"/>
      <c r="N213" s="71"/>
      <c r="O213" s="152"/>
      <c r="P213" s="71"/>
      <c r="Q213" s="153"/>
      <c r="R213" s="153"/>
      <c r="S213" s="71"/>
      <c r="T213" s="71"/>
      <c r="U213" s="60">
        <v>92.65</v>
      </c>
      <c r="V213" s="60">
        <f>D213*U213/1000</f>
        <v>3.8913</v>
      </c>
    </row>
    <row r="214" spans="1:22" s="6" customFormat="1" ht="15.75">
      <c r="A214" s="70"/>
      <c r="B214" s="151" t="s">
        <v>54</v>
      </c>
      <c r="C214" s="40"/>
      <c r="D214" s="69">
        <v>120</v>
      </c>
      <c r="E214" s="69">
        <v>120</v>
      </c>
      <c r="F214" s="71"/>
      <c r="G214" s="71" t="s">
        <v>126</v>
      </c>
      <c r="H214" s="71"/>
      <c r="I214" s="71"/>
      <c r="J214" s="71"/>
      <c r="K214" s="71"/>
      <c r="L214" s="71"/>
      <c r="M214" s="71"/>
      <c r="N214" s="71"/>
      <c r="O214" s="152"/>
      <c r="P214" s="71"/>
      <c r="Q214" s="153"/>
      <c r="R214" s="153"/>
      <c r="S214" s="71"/>
      <c r="T214" s="71"/>
      <c r="U214" s="60"/>
      <c r="V214" s="60">
        <f>D214*U214/1000</f>
        <v>0</v>
      </c>
    </row>
    <row r="215" spans="1:22" s="6" customFormat="1" ht="15.75">
      <c r="A215" s="70"/>
      <c r="B215" s="151" t="s">
        <v>58</v>
      </c>
      <c r="C215" s="40"/>
      <c r="D215" s="69">
        <v>5</v>
      </c>
      <c r="E215" s="69">
        <v>5</v>
      </c>
      <c r="F215" s="71"/>
      <c r="G215" s="71"/>
      <c r="H215" s="71"/>
      <c r="I215" s="71"/>
      <c r="J215" s="71"/>
      <c r="K215" s="71"/>
      <c r="L215" s="71"/>
      <c r="M215" s="71"/>
      <c r="N215" s="71"/>
      <c r="O215" s="152"/>
      <c r="P215" s="71"/>
      <c r="Q215" s="153"/>
      <c r="R215" s="153"/>
      <c r="S215" s="71"/>
      <c r="T215" s="71"/>
      <c r="U215" s="60">
        <v>653.09</v>
      </c>
      <c r="V215" s="60">
        <f>D215*U215/1000</f>
        <v>3.2654500000000004</v>
      </c>
    </row>
    <row r="216" spans="1:22" s="6" customFormat="1" ht="15.75">
      <c r="A216" s="70"/>
      <c r="B216" s="154" t="s">
        <v>14</v>
      </c>
      <c r="C216" s="40"/>
      <c r="D216" s="69">
        <v>0.7</v>
      </c>
      <c r="E216" s="69">
        <v>0.7</v>
      </c>
      <c r="F216" s="71"/>
      <c r="G216" s="71"/>
      <c r="H216" s="71"/>
      <c r="I216" s="71"/>
      <c r="J216" s="71"/>
      <c r="K216" s="71"/>
      <c r="L216" s="71"/>
      <c r="M216" s="71"/>
      <c r="N216" s="71"/>
      <c r="O216" s="152"/>
      <c r="P216" s="71"/>
      <c r="Q216" s="153"/>
      <c r="R216" s="153"/>
      <c r="S216" s="71"/>
      <c r="T216" s="71"/>
      <c r="U216" s="60">
        <v>11.9</v>
      </c>
      <c r="V216" s="60">
        <f>D216*U216/1000</f>
        <v>0.00833</v>
      </c>
    </row>
    <row r="217" spans="2:22" s="11" customFormat="1" ht="31.5">
      <c r="B217" s="147" t="s">
        <v>255</v>
      </c>
      <c r="C217" s="33">
        <v>200</v>
      </c>
      <c r="D217" s="33"/>
      <c r="E217" s="33"/>
      <c r="F217" s="34">
        <v>0.68</v>
      </c>
      <c r="G217" s="34">
        <v>0.1</v>
      </c>
      <c r="H217" s="38">
        <v>2</v>
      </c>
      <c r="I217" s="33">
        <v>133</v>
      </c>
      <c r="J217" s="33">
        <v>0.2</v>
      </c>
      <c r="K217" s="33"/>
      <c r="L217" s="34"/>
      <c r="M217" s="33">
        <v>0.22</v>
      </c>
      <c r="N217" s="34">
        <v>0</v>
      </c>
      <c r="O217" s="79">
        <v>0</v>
      </c>
      <c r="P217" s="34">
        <v>0</v>
      </c>
      <c r="Q217" s="38">
        <v>23.33</v>
      </c>
      <c r="R217" s="44">
        <v>16.65</v>
      </c>
      <c r="S217" s="33">
        <v>2.38</v>
      </c>
      <c r="T217" s="30">
        <v>0.54</v>
      </c>
      <c r="U217" s="34"/>
      <c r="V217" s="34">
        <f>SUM(V218:V220)</f>
        <v>3.84986</v>
      </c>
    </row>
    <row r="218" spans="2:22" s="6" customFormat="1" ht="15.75">
      <c r="B218" s="154" t="s">
        <v>110</v>
      </c>
      <c r="C218" s="40"/>
      <c r="D218" s="69">
        <v>18</v>
      </c>
      <c r="E218" s="69">
        <v>18</v>
      </c>
      <c r="F218" s="71"/>
      <c r="G218" s="71"/>
      <c r="H218" s="71"/>
      <c r="I218" s="71"/>
      <c r="J218" s="71"/>
      <c r="K218" s="69"/>
      <c r="L218" s="69"/>
      <c r="M218" s="71"/>
      <c r="N218" s="71"/>
      <c r="O218" s="152"/>
      <c r="P218" s="71"/>
      <c r="Q218" s="153"/>
      <c r="R218" s="153"/>
      <c r="S218" s="71"/>
      <c r="T218" s="71"/>
      <c r="U218" s="60">
        <v>206.92</v>
      </c>
      <c r="V218" s="60">
        <f>D218*U218/1000</f>
        <v>3.72456</v>
      </c>
    </row>
    <row r="219" spans="2:22" s="6" customFormat="1" ht="15.75">
      <c r="B219" s="154" t="s">
        <v>54</v>
      </c>
      <c r="C219" s="40"/>
      <c r="D219" s="69">
        <v>183</v>
      </c>
      <c r="E219" s="69">
        <v>183</v>
      </c>
      <c r="F219" s="71"/>
      <c r="G219" s="71"/>
      <c r="H219" s="71"/>
      <c r="I219" s="71"/>
      <c r="J219" s="71"/>
      <c r="K219" s="71"/>
      <c r="L219" s="71"/>
      <c r="M219" s="71"/>
      <c r="N219" s="71"/>
      <c r="O219" s="152"/>
      <c r="P219" s="71"/>
      <c r="Q219" s="153"/>
      <c r="R219" s="153"/>
      <c r="S219" s="71"/>
      <c r="T219" s="71"/>
      <c r="U219" s="60"/>
      <c r="V219" s="60">
        <f>D219*U219/1000</f>
        <v>0</v>
      </c>
    </row>
    <row r="220" spans="2:22" s="6" customFormat="1" ht="15.75">
      <c r="B220" s="154" t="s">
        <v>111</v>
      </c>
      <c r="C220" s="40"/>
      <c r="D220" s="69">
        <v>0.07</v>
      </c>
      <c r="E220" s="69">
        <v>0.07</v>
      </c>
      <c r="F220" s="71"/>
      <c r="G220" s="71"/>
      <c r="H220" s="71"/>
      <c r="I220" s="159"/>
      <c r="J220" s="159"/>
      <c r="K220" s="159"/>
      <c r="L220" s="71"/>
      <c r="M220" s="71"/>
      <c r="N220" s="71"/>
      <c r="O220" s="152"/>
      <c r="P220" s="71"/>
      <c r="Q220" s="153"/>
      <c r="R220" s="153"/>
      <c r="S220" s="159"/>
      <c r="T220" s="71"/>
      <c r="U220" s="418">
        <v>1790</v>
      </c>
      <c r="V220" s="60">
        <f>D220*U220/1000</f>
        <v>0.12530000000000002</v>
      </c>
    </row>
    <row r="221" spans="2:22" s="70" customFormat="1" ht="15.75">
      <c r="B221" s="123" t="s">
        <v>53</v>
      </c>
      <c r="C221" s="40">
        <v>40</v>
      </c>
      <c r="D221" s="69"/>
      <c r="E221" s="69"/>
      <c r="F221" s="40">
        <v>2.8</v>
      </c>
      <c r="G221" s="40">
        <v>0.48</v>
      </c>
      <c r="H221" s="40">
        <v>15.6</v>
      </c>
      <c r="I221" s="87">
        <v>80</v>
      </c>
      <c r="J221" s="74">
        <v>1.5</v>
      </c>
      <c r="K221" s="40"/>
      <c r="L221" s="40"/>
      <c r="M221" s="67">
        <v>0</v>
      </c>
      <c r="N221" s="40">
        <v>0.04</v>
      </c>
      <c r="O221" s="107">
        <v>0</v>
      </c>
      <c r="P221" s="40">
        <v>0.28</v>
      </c>
      <c r="Q221" s="97">
        <v>5.8</v>
      </c>
      <c r="R221" s="74">
        <v>30</v>
      </c>
      <c r="S221" s="41">
        <v>9.4</v>
      </c>
      <c r="T221" s="40">
        <v>0.78</v>
      </c>
      <c r="U221" s="60">
        <v>50.08</v>
      </c>
      <c r="V221" s="34">
        <f>C221*U221/1000</f>
        <v>2.0031999999999996</v>
      </c>
    </row>
    <row r="222" spans="1:22" s="7" customFormat="1" ht="31.5">
      <c r="A222" s="276" t="s">
        <v>198</v>
      </c>
      <c r="B222" s="317"/>
      <c r="C222" s="277">
        <v>925</v>
      </c>
      <c r="D222" s="277"/>
      <c r="E222" s="278"/>
      <c r="F222" s="413">
        <f aca="true" t="shared" si="16" ref="F222:T222">F184+F185+F199+F212+F217+F221</f>
        <v>14.55</v>
      </c>
      <c r="G222" s="413">
        <f t="shared" si="16"/>
        <v>13.38</v>
      </c>
      <c r="H222" s="413">
        <f t="shared" si="16"/>
        <v>82.6</v>
      </c>
      <c r="I222" s="413">
        <f t="shared" si="16"/>
        <v>657</v>
      </c>
      <c r="J222" s="413">
        <f t="shared" si="16"/>
        <v>7.8999999999999995</v>
      </c>
      <c r="K222" s="413">
        <f t="shared" si="16"/>
        <v>0</v>
      </c>
      <c r="L222" s="413">
        <f t="shared" si="16"/>
        <v>0</v>
      </c>
      <c r="M222" s="413">
        <f t="shared" si="16"/>
        <v>24.919999999999998</v>
      </c>
      <c r="N222" s="413">
        <f t="shared" si="16"/>
        <v>0.20400000000000001</v>
      </c>
      <c r="O222" s="413">
        <f t="shared" si="16"/>
        <v>0.02</v>
      </c>
      <c r="P222" s="413">
        <f t="shared" si="16"/>
        <v>4.03</v>
      </c>
      <c r="Q222" s="413">
        <f t="shared" si="16"/>
        <v>130.32999999999998</v>
      </c>
      <c r="R222" s="413">
        <f t="shared" si="16"/>
        <v>229.35</v>
      </c>
      <c r="S222" s="413">
        <f t="shared" si="16"/>
        <v>94.18</v>
      </c>
      <c r="T222" s="413">
        <f t="shared" si="16"/>
        <v>5.0600000000000005</v>
      </c>
      <c r="U222" s="413"/>
      <c r="V222" s="413">
        <f>V184+V185+V199+V212+V217+V221</f>
        <v>85.17758400000002</v>
      </c>
    </row>
    <row r="223" spans="1:22" s="10" customFormat="1" ht="31.5">
      <c r="A223" s="280" t="s">
        <v>199</v>
      </c>
      <c r="B223" s="318"/>
      <c r="C223" s="281" t="s">
        <v>207</v>
      </c>
      <c r="D223" s="282"/>
      <c r="E223" s="282"/>
      <c r="F223" s="414">
        <f aca="true" t="shared" si="17" ref="F223:T223">F182+F222</f>
        <v>29.96</v>
      </c>
      <c r="G223" s="414">
        <f t="shared" si="17"/>
        <v>27.92</v>
      </c>
      <c r="H223" s="414">
        <f t="shared" si="17"/>
        <v>128.29999999999998</v>
      </c>
      <c r="I223" s="414">
        <f t="shared" si="17"/>
        <v>1139</v>
      </c>
      <c r="J223" s="414">
        <f t="shared" si="17"/>
        <v>12.399999999999999</v>
      </c>
      <c r="K223" s="414">
        <f t="shared" si="17"/>
        <v>0</v>
      </c>
      <c r="L223" s="414">
        <f t="shared" si="17"/>
        <v>0</v>
      </c>
      <c r="M223" s="414">
        <f t="shared" si="17"/>
        <v>26.659999999999997</v>
      </c>
      <c r="N223" s="414">
        <f t="shared" si="17"/>
        <v>0.494</v>
      </c>
      <c r="O223" s="414">
        <f t="shared" si="17"/>
        <v>88.52</v>
      </c>
      <c r="P223" s="414">
        <f t="shared" si="17"/>
        <v>5.41</v>
      </c>
      <c r="Q223" s="414">
        <f t="shared" si="17"/>
        <v>483.43</v>
      </c>
      <c r="R223" s="414">
        <f t="shared" si="17"/>
        <v>589.05</v>
      </c>
      <c r="S223" s="414">
        <f t="shared" si="17"/>
        <v>176.34000000000003</v>
      </c>
      <c r="T223" s="414">
        <f t="shared" si="17"/>
        <v>7.8500000000000005</v>
      </c>
      <c r="U223" s="414"/>
      <c r="V223" s="414">
        <f>V182+V222</f>
        <v>117.62147900000002</v>
      </c>
    </row>
    <row r="224" spans="1:22" s="6" customFormat="1" ht="15.75">
      <c r="A224" s="258" t="s">
        <v>208</v>
      </c>
      <c r="B224" s="259"/>
      <c r="C224" s="260"/>
      <c r="D224" s="261"/>
      <c r="E224" s="258"/>
      <c r="F224" s="262"/>
      <c r="G224" s="263"/>
      <c r="H224" s="263"/>
      <c r="I224" s="263"/>
      <c r="J224" s="263"/>
      <c r="K224" s="302"/>
      <c r="L224" s="303"/>
      <c r="M224" s="306"/>
      <c r="N224" s="306"/>
      <c r="O224" s="306"/>
      <c r="P224" s="306"/>
      <c r="Q224" s="306"/>
      <c r="R224" s="306"/>
      <c r="S224" s="306"/>
      <c r="T224" s="307"/>
      <c r="U224" s="12"/>
      <c r="V224" s="10"/>
    </row>
    <row r="225" spans="1:22" s="10" customFormat="1" ht="15.75">
      <c r="A225" s="264" t="s">
        <v>52</v>
      </c>
      <c r="B225" s="308"/>
      <c r="C225" s="264"/>
      <c r="D225" s="265"/>
      <c r="E225" s="266"/>
      <c r="F225" s="267"/>
      <c r="G225" s="267"/>
      <c r="H225" s="267"/>
      <c r="I225" s="267"/>
      <c r="J225" s="267"/>
      <c r="K225" s="309"/>
      <c r="L225" s="309" t="e">
        <f>SUM(#REF!+#REF!+#REF!+#REF!+#REF!+#REF!)</f>
        <v>#REF!</v>
      </c>
      <c r="M225" s="309"/>
      <c r="N225" s="309"/>
      <c r="O225" s="309"/>
      <c r="P225" s="309"/>
      <c r="Q225" s="309"/>
      <c r="R225" s="309"/>
      <c r="S225" s="309"/>
      <c r="T225" s="309"/>
      <c r="U225" s="12"/>
      <c r="V225" s="11"/>
    </row>
    <row r="226" spans="2:22" s="43" customFormat="1" ht="15.75">
      <c r="B226" s="134" t="s">
        <v>43</v>
      </c>
      <c r="C226" s="72" t="s">
        <v>44</v>
      </c>
      <c r="D226" s="42"/>
      <c r="E226" s="66"/>
      <c r="F226" s="67">
        <v>3.2</v>
      </c>
      <c r="G226" s="68">
        <v>6.5</v>
      </c>
      <c r="H226" s="94">
        <v>9.3</v>
      </c>
      <c r="I226" s="104">
        <v>136</v>
      </c>
      <c r="J226" s="94">
        <v>0.9</v>
      </c>
      <c r="K226" s="68"/>
      <c r="L226" s="68"/>
      <c r="M226" s="68">
        <v>0</v>
      </c>
      <c r="N226" s="68">
        <v>0.049</v>
      </c>
      <c r="O226" s="68">
        <v>45</v>
      </c>
      <c r="P226" s="68">
        <v>0.49</v>
      </c>
      <c r="Q226" s="68">
        <v>9.3</v>
      </c>
      <c r="R226" s="104">
        <v>29.1</v>
      </c>
      <c r="S226" s="68">
        <v>9.9</v>
      </c>
      <c r="T226" s="68">
        <v>0.62</v>
      </c>
      <c r="U226" s="68"/>
      <c r="V226" s="34">
        <f>SUM(V227:V228)</f>
        <v>8.0333</v>
      </c>
    </row>
    <row r="227" spans="2:22" s="12" customFormat="1" ht="15.75">
      <c r="B227" s="143" t="s">
        <v>53</v>
      </c>
      <c r="C227" s="89"/>
      <c r="D227" s="90">
        <v>30</v>
      </c>
      <c r="E227" s="91">
        <v>30</v>
      </c>
      <c r="F227" s="156"/>
      <c r="G227" s="310"/>
      <c r="H227" s="310"/>
      <c r="I227" s="310"/>
      <c r="J227" s="310"/>
      <c r="K227" s="51"/>
      <c r="L227" s="51"/>
      <c r="M227" s="51"/>
      <c r="N227" s="51"/>
      <c r="O227" s="51"/>
      <c r="P227" s="51"/>
      <c r="Q227" s="51"/>
      <c r="R227" s="105"/>
      <c r="S227" s="51"/>
      <c r="T227" s="51"/>
      <c r="U227" s="51">
        <v>50.08</v>
      </c>
      <c r="V227" s="60">
        <f>D227*U227/1000</f>
        <v>1.5024</v>
      </c>
    </row>
    <row r="228" spans="2:22" s="12" customFormat="1" ht="15.75">
      <c r="B228" s="188" t="s">
        <v>58</v>
      </c>
      <c r="C228" s="89"/>
      <c r="D228" s="90">
        <v>10</v>
      </c>
      <c r="E228" s="91">
        <v>10</v>
      </c>
      <c r="F228" s="156"/>
      <c r="G228" s="310"/>
      <c r="H228" s="310"/>
      <c r="I228" s="310"/>
      <c r="J228" s="310"/>
      <c r="K228" s="51"/>
      <c r="L228" s="51"/>
      <c r="M228" s="51"/>
      <c r="N228" s="51"/>
      <c r="O228" s="51"/>
      <c r="P228" s="51"/>
      <c r="Q228" s="51"/>
      <c r="R228" s="105"/>
      <c r="S228" s="51"/>
      <c r="T228" s="51"/>
      <c r="U228" s="51">
        <v>653.09</v>
      </c>
      <c r="V228" s="60">
        <f>D228*U228/1000</f>
        <v>6.530900000000001</v>
      </c>
    </row>
    <row r="229" spans="2:22" s="43" customFormat="1" ht="15.75">
      <c r="B229" s="133" t="s">
        <v>115</v>
      </c>
      <c r="C229" s="82" t="s">
        <v>91</v>
      </c>
      <c r="D229" s="40"/>
      <c r="E229" s="40"/>
      <c r="F229" s="41">
        <v>9.5</v>
      </c>
      <c r="G229" s="41">
        <v>8.5</v>
      </c>
      <c r="H229" s="41">
        <v>23.1</v>
      </c>
      <c r="I229" s="40">
        <v>221</v>
      </c>
      <c r="J229" s="40">
        <v>2.3</v>
      </c>
      <c r="K229" s="40"/>
      <c r="L229" s="40"/>
      <c r="M229" s="41">
        <v>0.6</v>
      </c>
      <c r="N229" s="41">
        <v>0.2</v>
      </c>
      <c r="O229" s="41">
        <v>19.6</v>
      </c>
      <c r="P229" s="41">
        <v>0.3</v>
      </c>
      <c r="Q229" s="74">
        <v>154.8</v>
      </c>
      <c r="R229" s="107">
        <v>190.4</v>
      </c>
      <c r="S229" s="41">
        <v>48</v>
      </c>
      <c r="T229" s="67">
        <v>1.19</v>
      </c>
      <c r="U229" s="40"/>
      <c r="V229" s="34">
        <f>SUM(V230:V235)</f>
        <v>10.78008</v>
      </c>
    </row>
    <row r="230" spans="2:22" s="3" customFormat="1" ht="15.75">
      <c r="B230" s="126" t="s">
        <v>109</v>
      </c>
      <c r="C230" s="25"/>
      <c r="D230" s="32">
        <v>11</v>
      </c>
      <c r="E230" s="32">
        <v>11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102"/>
      <c r="R230" s="204"/>
      <c r="S230" s="24"/>
      <c r="T230" s="24"/>
      <c r="U230" s="24">
        <v>75.6</v>
      </c>
      <c r="V230" s="60">
        <f>D230*U230/1000</f>
        <v>0.8315999999999999</v>
      </c>
    </row>
    <row r="231" spans="2:22" s="3" customFormat="1" ht="15.75">
      <c r="B231" s="126" t="s">
        <v>95</v>
      </c>
      <c r="C231" s="25"/>
      <c r="D231" s="32">
        <v>15</v>
      </c>
      <c r="E231" s="32">
        <v>15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102"/>
      <c r="R231" s="204"/>
      <c r="S231" s="24"/>
      <c r="T231" s="24"/>
      <c r="U231" s="24">
        <v>77.51</v>
      </c>
      <c r="V231" s="60">
        <f>D231*U231/1000</f>
        <v>1.1626500000000002</v>
      </c>
    </row>
    <row r="232" spans="2:22" s="3" customFormat="1" ht="15.75">
      <c r="B232" s="126" t="s">
        <v>86</v>
      </c>
      <c r="C232" s="25"/>
      <c r="D232" s="32">
        <v>100</v>
      </c>
      <c r="E232" s="32">
        <v>100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102"/>
      <c r="R232" s="204"/>
      <c r="S232" s="24"/>
      <c r="T232" s="24"/>
      <c r="U232" s="24">
        <v>55.18</v>
      </c>
      <c r="V232" s="60">
        <f>D232*U232/1000</f>
        <v>5.518</v>
      </c>
    </row>
    <row r="233" spans="2:22" s="3" customFormat="1" ht="15.75">
      <c r="B233" s="126" t="s">
        <v>54</v>
      </c>
      <c r="C233" s="25"/>
      <c r="D233" s="32">
        <v>72</v>
      </c>
      <c r="E233" s="32">
        <v>72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102"/>
      <c r="R233" s="204"/>
      <c r="S233" s="24"/>
      <c r="T233" s="24"/>
      <c r="U233" s="24"/>
      <c r="V233" s="60">
        <f>D233*U233/1000</f>
        <v>0</v>
      </c>
    </row>
    <row r="234" spans="2:22" s="3" customFormat="1" ht="15.75">
      <c r="B234" s="126" t="s">
        <v>58</v>
      </c>
      <c r="C234" s="25"/>
      <c r="D234" s="32">
        <v>5</v>
      </c>
      <c r="E234" s="32">
        <v>5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102"/>
      <c r="R234" s="204"/>
      <c r="S234" s="24"/>
      <c r="T234" s="24"/>
      <c r="U234" s="24">
        <v>653.09</v>
      </c>
      <c r="V234" s="60">
        <f>D234*U234/1000</f>
        <v>3.2654500000000004</v>
      </c>
    </row>
    <row r="235" spans="2:22" s="3" customFormat="1" ht="15.75">
      <c r="B235" s="126" t="s">
        <v>14</v>
      </c>
      <c r="C235" s="25"/>
      <c r="D235" s="32">
        <v>0.2</v>
      </c>
      <c r="E235" s="32">
        <v>0.2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102"/>
      <c r="R235" s="204"/>
      <c r="S235" s="24"/>
      <c r="T235" s="24"/>
      <c r="U235" s="24">
        <v>11.9</v>
      </c>
      <c r="V235" s="60">
        <f>D235*U235/1000</f>
        <v>0.00238</v>
      </c>
    </row>
    <row r="236" spans="2:22" s="11" customFormat="1" ht="15.75">
      <c r="B236" s="147" t="s">
        <v>50</v>
      </c>
      <c r="C236" s="33">
        <v>125</v>
      </c>
      <c r="D236" s="33"/>
      <c r="E236" s="33"/>
      <c r="F236" s="33">
        <v>6.2</v>
      </c>
      <c r="G236" s="34">
        <v>3.1</v>
      </c>
      <c r="H236" s="33">
        <v>9.2</v>
      </c>
      <c r="I236" s="33">
        <v>85</v>
      </c>
      <c r="J236" s="33">
        <v>0.9</v>
      </c>
      <c r="K236" s="33"/>
      <c r="L236" s="34"/>
      <c r="M236" s="34">
        <v>0.9</v>
      </c>
      <c r="N236" s="33">
        <v>0.1</v>
      </c>
      <c r="O236" s="34">
        <v>27</v>
      </c>
      <c r="P236" s="33">
        <v>0</v>
      </c>
      <c r="Q236" s="79">
        <v>165</v>
      </c>
      <c r="R236" s="79">
        <v>130</v>
      </c>
      <c r="S236" s="34">
        <v>20.4</v>
      </c>
      <c r="T236" s="33">
        <v>0.1</v>
      </c>
      <c r="U236" s="34"/>
      <c r="V236" s="34">
        <f>V237</f>
        <v>18</v>
      </c>
    </row>
    <row r="237" spans="2:22" s="12" customFormat="1" ht="15.75">
      <c r="B237" s="137" t="s">
        <v>51</v>
      </c>
      <c r="C237" s="54"/>
      <c r="D237" s="46">
        <v>125</v>
      </c>
      <c r="E237" s="50">
        <v>125</v>
      </c>
      <c r="F237" s="23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>
        <v>144</v>
      </c>
      <c r="V237" s="60">
        <f>D237*U237/1000</f>
        <v>18</v>
      </c>
    </row>
    <row r="238" spans="2:22" s="43" customFormat="1" ht="15.75">
      <c r="B238" s="119" t="s">
        <v>48</v>
      </c>
      <c r="C238" s="33">
        <v>200</v>
      </c>
      <c r="D238" s="33"/>
      <c r="E238" s="33"/>
      <c r="F238" s="34">
        <v>3.1</v>
      </c>
      <c r="G238" s="34">
        <v>2.7</v>
      </c>
      <c r="H238" s="34">
        <v>5.3</v>
      </c>
      <c r="I238" s="33">
        <v>119</v>
      </c>
      <c r="J238" s="33">
        <v>0.5</v>
      </c>
      <c r="K238" s="33"/>
      <c r="L238" s="352"/>
      <c r="M238" s="30">
        <v>1.3</v>
      </c>
      <c r="N238" s="33">
        <v>0.04</v>
      </c>
      <c r="O238" s="79">
        <v>20</v>
      </c>
      <c r="P238" s="33">
        <v>0.05</v>
      </c>
      <c r="Q238" s="38">
        <v>125.78</v>
      </c>
      <c r="R238" s="79">
        <v>90</v>
      </c>
      <c r="S238" s="33">
        <v>14</v>
      </c>
      <c r="T238" s="34">
        <v>0.13</v>
      </c>
      <c r="U238" s="352"/>
      <c r="V238" s="34">
        <f>SUM(V239:V241)</f>
        <v>8.8452</v>
      </c>
    </row>
    <row r="239" spans="2:22" s="6" customFormat="1" ht="15.75">
      <c r="B239" s="63" t="s">
        <v>49</v>
      </c>
      <c r="C239" s="17"/>
      <c r="D239" s="20">
        <v>4</v>
      </c>
      <c r="E239" s="20">
        <v>4</v>
      </c>
      <c r="F239" s="21"/>
      <c r="G239" s="21"/>
      <c r="H239" s="21"/>
      <c r="I239" s="21"/>
      <c r="J239" s="21"/>
      <c r="K239" s="21"/>
      <c r="L239" s="51"/>
      <c r="M239" s="21"/>
      <c r="N239" s="21"/>
      <c r="O239" s="112"/>
      <c r="P239" s="21"/>
      <c r="Q239" s="99"/>
      <c r="R239" s="202"/>
      <c r="S239" s="21"/>
      <c r="T239" s="21"/>
      <c r="U239" s="51">
        <v>831.8</v>
      </c>
      <c r="V239" s="60">
        <f>D239*U239/1000</f>
        <v>3.3272</v>
      </c>
    </row>
    <row r="240" spans="2:22" s="6" customFormat="1" ht="15.75">
      <c r="B240" s="63" t="s">
        <v>86</v>
      </c>
      <c r="C240" s="17"/>
      <c r="D240" s="20">
        <v>100</v>
      </c>
      <c r="E240" s="20">
        <v>100</v>
      </c>
      <c r="F240" s="21"/>
      <c r="G240" s="21"/>
      <c r="H240" s="21"/>
      <c r="I240" s="21"/>
      <c r="J240" s="21"/>
      <c r="K240" s="21"/>
      <c r="L240" s="51"/>
      <c r="M240" s="21"/>
      <c r="N240" s="21"/>
      <c r="O240" s="112"/>
      <c r="P240" s="21"/>
      <c r="Q240" s="99"/>
      <c r="R240" s="202"/>
      <c r="S240" s="21"/>
      <c r="T240" s="21"/>
      <c r="U240" s="51">
        <v>55.18</v>
      </c>
      <c r="V240" s="60">
        <f>D240*U240/1000</f>
        <v>5.518</v>
      </c>
    </row>
    <row r="241" spans="2:22" s="6" customFormat="1" ht="15.75">
      <c r="B241" s="63" t="s">
        <v>54</v>
      </c>
      <c r="C241" s="17"/>
      <c r="D241" s="20">
        <v>100</v>
      </c>
      <c r="E241" s="20">
        <v>100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112"/>
      <c r="P241" s="21"/>
      <c r="Q241" s="99"/>
      <c r="R241" s="202"/>
      <c r="S241" s="21"/>
      <c r="T241" s="21"/>
      <c r="U241" s="51"/>
      <c r="V241" s="60">
        <f>D241*U241/1000</f>
        <v>0</v>
      </c>
    </row>
    <row r="242" spans="2:22" s="70" customFormat="1" ht="15.75">
      <c r="B242" s="123" t="s">
        <v>53</v>
      </c>
      <c r="C242" s="40">
        <v>20</v>
      </c>
      <c r="D242" s="69"/>
      <c r="E242" s="69"/>
      <c r="F242" s="40">
        <v>1.4</v>
      </c>
      <c r="G242" s="40">
        <v>0.24</v>
      </c>
      <c r="H242" s="40">
        <v>7.8</v>
      </c>
      <c r="I242" s="87">
        <v>40</v>
      </c>
      <c r="J242" s="87">
        <v>0.7</v>
      </c>
      <c r="K242" s="40"/>
      <c r="L242" s="40"/>
      <c r="M242" s="67">
        <v>0</v>
      </c>
      <c r="N242" s="40">
        <v>0.04</v>
      </c>
      <c r="O242" s="107">
        <v>0</v>
      </c>
      <c r="P242" s="40">
        <v>0.28</v>
      </c>
      <c r="Q242" s="97">
        <v>5.8</v>
      </c>
      <c r="R242" s="87">
        <v>30</v>
      </c>
      <c r="S242" s="41">
        <v>9.4</v>
      </c>
      <c r="T242" s="40">
        <v>0.78</v>
      </c>
      <c r="U242" s="60">
        <v>50.08</v>
      </c>
      <c r="V242" s="34">
        <f>C242*U242/1000</f>
        <v>1.0015999999999998</v>
      </c>
    </row>
    <row r="243" spans="1:22" s="11" customFormat="1" ht="31.5">
      <c r="A243" s="270" t="s">
        <v>197</v>
      </c>
      <c r="B243" s="271"/>
      <c r="C243" s="272" t="s">
        <v>229</v>
      </c>
      <c r="D243" s="271"/>
      <c r="E243" s="273"/>
      <c r="F243" s="287">
        <f aca="true" t="shared" si="18" ref="F243:T243">F226+F229+F236+F238+F242</f>
        <v>23.4</v>
      </c>
      <c r="G243" s="287">
        <f t="shared" si="18"/>
        <v>21.04</v>
      </c>
      <c r="H243" s="287">
        <f t="shared" si="18"/>
        <v>54.7</v>
      </c>
      <c r="I243" s="287">
        <f t="shared" si="18"/>
        <v>601</v>
      </c>
      <c r="J243" s="287">
        <f t="shared" si="18"/>
        <v>5.3</v>
      </c>
      <c r="K243" s="287">
        <f t="shared" si="18"/>
        <v>0</v>
      </c>
      <c r="L243" s="287">
        <f t="shared" si="18"/>
        <v>0</v>
      </c>
      <c r="M243" s="287">
        <f t="shared" si="18"/>
        <v>2.8</v>
      </c>
      <c r="N243" s="287">
        <f t="shared" si="18"/>
        <v>0.42899999999999994</v>
      </c>
      <c r="O243" s="287">
        <f t="shared" si="18"/>
        <v>111.6</v>
      </c>
      <c r="P243" s="287">
        <f t="shared" si="18"/>
        <v>1.12</v>
      </c>
      <c r="Q243" s="287">
        <f t="shared" si="18"/>
        <v>460.68</v>
      </c>
      <c r="R243" s="287">
        <f t="shared" si="18"/>
        <v>469.5</v>
      </c>
      <c r="S243" s="287">
        <f t="shared" si="18"/>
        <v>101.7</v>
      </c>
      <c r="T243" s="287">
        <f t="shared" si="18"/>
        <v>2.8200000000000003</v>
      </c>
      <c r="U243" s="287"/>
      <c r="V243" s="287">
        <f>V226+V229+V236+V238+V242</f>
        <v>46.66018</v>
      </c>
    </row>
    <row r="244" spans="1:22" s="10" customFormat="1" ht="18.75">
      <c r="A244" s="264" t="s">
        <v>11</v>
      </c>
      <c r="B244" s="308"/>
      <c r="C244" s="264"/>
      <c r="D244" s="265"/>
      <c r="E244" s="266"/>
      <c r="F244" s="267"/>
      <c r="G244" s="267"/>
      <c r="H244" s="267"/>
      <c r="I244" s="267"/>
      <c r="J244" s="267"/>
      <c r="K244" s="309" t="e">
        <f>SUM(#REF!+#REF!+#REF!+#REF!+#REF!+#REF!+#REF!+#REF!)</f>
        <v>#REF!</v>
      </c>
      <c r="L244" s="309" t="e">
        <f>SUM(#REF!+#REF!+#REF!+#REF!+#REF!+#REF!+#REF!+#REF!)</f>
        <v>#REF!</v>
      </c>
      <c r="M244" s="309"/>
      <c r="N244" s="309"/>
      <c r="O244" s="309"/>
      <c r="P244" s="309"/>
      <c r="Q244" s="309"/>
      <c r="R244" s="309"/>
      <c r="S244" s="309"/>
      <c r="T244" s="309"/>
      <c r="U244" s="279"/>
      <c r="V244" s="45"/>
    </row>
    <row r="245" spans="2:22" s="11" customFormat="1" ht="15.75">
      <c r="B245" s="125" t="s">
        <v>256</v>
      </c>
      <c r="C245" s="33">
        <v>30</v>
      </c>
      <c r="D245" s="33"/>
      <c r="E245" s="33"/>
      <c r="F245" s="33">
        <v>2.2</v>
      </c>
      <c r="G245" s="33">
        <v>0.08</v>
      </c>
      <c r="H245" s="33">
        <v>2.14</v>
      </c>
      <c r="I245" s="33">
        <v>17</v>
      </c>
      <c r="J245" s="33">
        <v>0.2</v>
      </c>
      <c r="K245" s="33"/>
      <c r="L245" s="34"/>
      <c r="M245" s="34">
        <v>24</v>
      </c>
      <c r="N245" s="31">
        <v>0.08</v>
      </c>
      <c r="O245" s="34">
        <v>0</v>
      </c>
      <c r="P245" s="33">
        <v>0.09</v>
      </c>
      <c r="Q245" s="33">
        <v>10.5</v>
      </c>
      <c r="R245" s="33">
        <v>49.41</v>
      </c>
      <c r="S245" s="33">
        <v>10.25</v>
      </c>
      <c r="T245" s="33">
        <v>0.2</v>
      </c>
      <c r="U245" s="33"/>
      <c r="V245" s="34">
        <f>V246</f>
        <v>5.42662</v>
      </c>
    </row>
    <row r="246" spans="2:22" s="3" customFormat="1" ht="15.75">
      <c r="B246" s="140" t="s">
        <v>221</v>
      </c>
      <c r="C246" s="33"/>
      <c r="D246" s="35">
        <v>46</v>
      </c>
      <c r="E246" s="35">
        <v>30</v>
      </c>
      <c r="F246" s="35"/>
      <c r="G246" s="35"/>
      <c r="H246" s="35"/>
      <c r="I246" s="35"/>
      <c r="J246" s="35"/>
      <c r="K246" s="35"/>
      <c r="L246" s="60"/>
      <c r="M246" s="36"/>
      <c r="N246" s="36"/>
      <c r="O246" s="36"/>
      <c r="P246" s="36"/>
      <c r="Q246" s="36"/>
      <c r="R246" s="36"/>
      <c r="S246" s="36"/>
      <c r="T246" s="36"/>
      <c r="U246" s="60">
        <v>117.97</v>
      </c>
      <c r="V246" s="60">
        <f>D246*U246/1000</f>
        <v>5.42662</v>
      </c>
    </row>
    <row r="247" spans="1:22" s="10" customFormat="1" ht="15.75">
      <c r="A247" s="43"/>
      <c r="B247" s="134" t="s">
        <v>30</v>
      </c>
      <c r="C247" s="42" t="s">
        <v>143</v>
      </c>
      <c r="D247" s="42"/>
      <c r="E247" s="314"/>
      <c r="F247" s="67">
        <v>6.6</v>
      </c>
      <c r="G247" s="67">
        <v>7.3</v>
      </c>
      <c r="H247" s="97">
        <v>23</v>
      </c>
      <c r="I247" s="107">
        <v>198</v>
      </c>
      <c r="J247" s="107">
        <v>2.3</v>
      </c>
      <c r="K247" s="67"/>
      <c r="L247" s="67"/>
      <c r="M247" s="97">
        <v>17.7</v>
      </c>
      <c r="N247" s="67">
        <v>0.01</v>
      </c>
      <c r="O247" s="97">
        <v>25.4</v>
      </c>
      <c r="P247" s="67">
        <v>0.51</v>
      </c>
      <c r="Q247" s="67">
        <v>26.9</v>
      </c>
      <c r="R247" s="107">
        <v>79.4</v>
      </c>
      <c r="S247" s="97">
        <v>30</v>
      </c>
      <c r="T247" s="67">
        <v>1</v>
      </c>
      <c r="U247" s="350"/>
      <c r="V247" s="34">
        <f>SUM(V248:V256)</f>
        <v>44.36215</v>
      </c>
    </row>
    <row r="248" spans="1:22" s="12" customFormat="1" ht="15.75">
      <c r="A248" s="75"/>
      <c r="B248" s="188" t="s">
        <v>17</v>
      </c>
      <c r="C248" s="90"/>
      <c r="D248" s="90">
        <v>100</v>
      </c>
      <c r="E248" s="192">
        <v>75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90"/>
      <c r="S248" s="156"/>
      <c r="T248" s="156"/>
      <c r="U248" s="23">
        <v>50.25</v>
      </c>
      <c r="V248" s="60">
        <f>D248*U248/1000</f>
        <v>5.025</v>
      </c>
    </row>
    <row r="249" spans="1:22" s="12" customFormat="1" ht="15.75">
      <c r="A249" s="75"/>
      <c r="B249" s="188" t="s">
        <v>130</v>
      </c>
      <c r="C249" s="90"/>
      <c r="D249" s="90">
        <v>107</v>
      </c>
      <c r="E249" s="192">
        <v>75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90"/>
      <c r="S249" s="156"/>
      <c r="T249" s="156"/>
      <c r="U249" s="23"/>
      <c r="V249" s="60">
        <f aca="true" t="shared" si="19" ref="V249:V256">D249*U249/1000</f>
        <v>0</v>
      </c>
    </row>
    <row r="250" spans="1:22" s="12" customFormat="1" ht="15.75">
      <c r="A250" s="75"/>
      <c r="B250" s="188" t="s">
        <v>131</v>
      </c>
      <c r="C250" s="90"/>
      <c r="D250" s="90">
        <v>116</v>
      </c>
      <c r="E250" s="192">
        <v>75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90"/>
      <c r="S250" s="156"/>
      <c r="T250" s="156"/>
      <c r="U250" s="23"/>
      <c r="V250" s="60">
        <f t="shared" si="19"/>
        <v>0</v>
      </c>
    </row>
    <row r="251" spans="1:22" s="12" customFormat="1" ht="15.75">
      <c r="A251" s="75"/>
      <c r="B251" s="188" t="s">
        <v>132</v>
      </c>
      <c r="C251" s="90"/>
      <c r="D251" s="90">
        <v>125</v>
      </c>
      <c r="E251" s="192">
        <v>75</v>
      </c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90"/>
      <c r="S251" s="156"/>
      <c r="T251" s="156"/>
      <c r="U251" s="23"/>
      <c r="V251" s="60">
        <f t="shared" si="19"/>
        <v>0</v>
      </c>
    </row>
    <row r="252" spans="1:22" s="12" customFormat="1" ht="15.75">
      <c r="A252" s="75"/>
      <c r="B252" s="188" t="s">
        <v>31</v>
      </c>
      <c r="C252" s="90"/>
      <c r="D252" s="90">
        <v>15</v>
      </c>
      <c r="E252" s="192">
        <v>13</v>
      </c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90"/>
      <c r="S252" s="156"/>
      <c r="T252" s="156"/>
      <c r="U252" s="23">
        <v>32.75</v>
      </c>
      <c r="V252" s="60">
        <f t="shared" si="19"/>
        <v>0.49125</v>
      </c>
    </row>
    <row r="253" spans="1:22" s="12" customFormat="1" ht="15.75">
      <c r="A253" s="75"/>
      <c r="B253" s="188" t="s">
        <v>57</v>
      </c>
      <c r="C253" s="90"/>
      <c r="D253" s="90">
        <v>5</v>
      </c>
      <c r="E253" s="192">
        <v>5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90"/>
      <c r="S253" s="156"/>
      <c r="T253" s="156"/>
      <c r="U253" s="23">
        <v>125.7</v>
      </c>
      <c r="V253" s="60">
        <f t="shared" si="19"/>
        <v>0.6285</v>
      </c>
    </row>
    <row r="254" spans="1:22" s="12" customFormat="1" ht="31.5">
      <c r="A254" s="75"/>
      <c r="B254" s="143" t="s">
        <v>22</v>
      </c>
      <c r="C254" s="90"/>
      <c r="D254" s="90">
        <v>86</v>
      </c>
      <c r="E254" s="192">
        <v>60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90"/>
      <c r="S254" s="156"/>
      <c r="T254" s="156"/>
      <c r="U254" s="419">
        <v>444.25</v>
      </c>
      <c r="V254" s="60">
        <f t="shared" si="19"/>
        <v>38.2055</v>
      </c>
    </row>
    <row r="255" spans="1:22" s="12" customFormat="1" ht="15.75">
      <c r="A255" s="75"/>
      <c r="B255" s="188" t="s">
        <v>14</v>
      </c>
      <c r="C255" s="90"/>
      <c r="D255" s="90">
        <v>1</v>
      </c>
      <c r="E255" s="192">
        <v>1</v>
      </c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90"/>
      <c r="S255" s="156"/>
      <c r="T255" s="156"/>
      <c r="U255" s="23">
        <v>11.9</v>
      </c>
      <c r="V255" s="60">
        <f t="shared" si="19"/>
        <v>0.0119</v>
      </c>
    </row>
    <row r="256" spans="1:22" s="12" customFormat="1" ht="15.75">
      <c r="A256" s="75"/>
      <c r="B256" s="188" t="s">
        <v>54</v>
      </c>
      <c r="C256" s="90"/>
      <c r="D256" s="90">
        <v>175</v>
      </c>
      <c r="E256" s="192">
        <v>175</v>
      </c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90"/>
      <c r="S256" s="156"/>
      <c r="T256" s="156"/>
      <c r="U256" s="23"/>
      <c r="V256" s="60">
        <f t="shared" si="19"/>
        <v>0</v>
      </c>
    </row>
    <row r="257" spans="1:22" s="29" customFormat="1" ht="31.5">
      <c r="A257" s="328"/>
      <c r="B257" s="125" t="s">
        <v>257</v>
      </c>
      <c r="C257" s="33">
        <v>100</v>
      </c>
      <c r="D257" s="33"/>
      <c r="E257" s="33"/>
      <c r="F257" s="37"/>
      <c r="G257" s="37"/>
      <c r="H257" s="37"/>
      <c r="I257" s="37"/>
      <c r="J257" s="37"/>
      <c r="K257" s="37"/>
      <c r="L257" s="37"/>
      <c r="M257" s="37"/>
      <c r="N257" s="37"/>
      <c r="O257" s="79"/>
      <c r="P257" s="37"/>
      <c r="Q257" s="185"/>
      <c r="R257" s="185"/>
      <c r="S257" s="37"/>
      <c r="T257" s="37"/>
      <c r="U257" s="34"/>
      <c r="V257" s="34">
        <f>SUM(V258:V259)</f>
        <v>45.410900000000005</v>
      </c>
    </row>
    <row r="258" spans="1:22" s="45" customFormat="1" ht="15.75">
      <c r="A258" s="315"/>
      <c r="B258" s="142" t="s">
        <v>258</v>
      </c>
      <c r="C258" s="36"/>
      <c r="D258" s="35">
        <v>108</v>
      </c>
      <c r="E258" s="35">
        <v>108</v>
      </c>
      <c r="F258" s="36"/>
      <c r="G258" s="36"/>
      <c r="H258" s="36"/>
      <c r="I258" s="36"/>
      <c r="J258" s="36"/>
      <c r="K258" s="36"/>
      <c r="L258" s="36"/>
      <c r="M258" s="36"/>
      <c r="N258" s="36"/>
      <c r="O258" s="121"/>
      <c r="P258" s="36"/>
      <c r="Q258" s="173"/>
      <c r="R258" s="173"/>
      <c r="S258" s="36"/>
      <c r="T258" s="36"/>
      <c r="U258" s="60">
        <v>360</v>
      </c>
      <c r="V258" s="60">
        <f>D258*U258/1000</f>
        <v>38.88</v>
      </c>
    </row>
    <row r="259" spans="1:22" s="45" customFormat="1" ht="15.75">
      <c r="A259" s="315"/>
      <c r="B259" s="140" t="s">
        <v>58</v>
      </c>
      <c r="C259" s="36"/>
      <c r="D259" s="35">
        <v>10</v>
      </c>
      <c r="E259" s="35">
        <v>10</v>
      </c>
      <c r="F259" s="36"/>
      <c r="G259" s="36"/>
      <c r="H259" s="36"/>
      <c r="I259" s="36"/>
      <c r="J259" s="36"/>
      <c r="K259" s="36"/>
      <c r="L259" s="36"/>
      <c r="M259" s="36"/>
      <c r="N259" s="36"/>
      <c r="O259" s="121"/>
      <c r="P259" s="36"/>
      <c r="Q259" s="173"/>
      <c r="R259" s="173"/>
      <c r="S259" s="36"/>
      <c r="T259" s="36"/>
      <c r="U259" s="60">
        <v>653.09</v>
      </c>
      <c r="V259" s="60">
        <f>D259*U259/1000</f>
        <v>6.530900000000001</v>
      </c>
    </row>
    <row r="260" spans="2:22" s="43" customFormat="1" ht="31.5">
      <c r="B260" s="133" t="s">
        <v>148</v>
      </c>
      <c r="C260" s="40" t="s">
        <v>149</v>
      </c>
      <c r="D260" s="40"/>
      <c r="E260" s="40"/>
      <c r="F260" s="40">
        <v>13.2</v>
      </c>
      <c r="G260" s="40">
        <v>9.1</v>
      </c>
      <c r="H260" s="40">
        <v>33.3</v>
      </c>
      <c r="I260" s="40">
        <v>226</v>
      </c>
      <c r="J260" s="40">
        <v>3.3</v>
      </c>
      <c r="K260" s="40"/>
      <c r="L260" s="40"/>
      <c r="M260" s="41">
        <v>0.2</v>
      </c>
      <c r="N260" s="40">
        <v>0.07</v>
      </c>
      <c r="O260" s="74">
        <v>0</v>
      </c>
      <c r="P260" s="41">
        <v>4.09</v>
      </c>
      <c r="Q260" s="97">
        <v>252</v>
      </c>
      <c r="R260" s="87">
        <v>46.1</v>
      </c>
      <c r="S260" s="40">
        <v>22.5</v>
      </c>
      <c r="T260" s="40">
        <v>1.7</v>
      </c>
      <c r="U260" s="34"/>
      <c r="V260" s="34">
        <f>SUM(V261:V264)</f>
        <v>23.645809999999997</v>
      </c>
    </row>
    <row r="261" spans="1:22" s="6" customFormat="1" ht="15.75">
      <c r="A261" s="70"/>
      <c r="B261" s="151" t="s">
        <v>100</v>
      </c>
      <c r="C261" s="40"/>
      <c r="D261" s="69">
        <v>63</v>
      </c>
      <c r="E261" s="69">
        <v>63</v>
      </c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153"/>
      <c r="R261" s="203"/>
      <c r="S261" s="71"/>
      <c r="T261" s="71"/>
      <c r="U261" s="60">
        <v>134.42</v>
      </c>
      <c r="V261" s="60">
        <f>D261*U261/1000</f>
        <v>8.468459999999999</v>
      </c>
    </row>
    <row r="262" spans="1:22" s="6" customFormat="1" ht="15.75">
      <c r="A262" s="70"/>
      <c r="B262" s="154" t="s">
        <v>58</v>
      </c>
      <c r="C262" s="40"/>
      <c r="D262" s="69">
        <v>5</v>
      </c>
      <c r="E262" s="69">
        <v>5</v>
      </c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153"/>
      <c r="R262" s="203"/>
      <c r="S262" s="71"/>
      <c r="T262" s="71"/>
      <c r="U262" s="60">
        <v>653.09</v>
      </c>
      <c r="V262" s="60">
        <f>D262*U262/1000</f>
        <v>3.2654500000000004</v>
      </c>
    </row>
    <row r="263" spans="1:22" s="45" customFormat="1" ht="15.75">
      <c r="A263" s="315"/>
      <c r="B263" s="140" t="s">
        <v>14</v>
      </c>
      <c r="C263" s="33"/>
      <c r="D263" s="35">
        <v>1</v>
      </c>
      <c r="E263" s="35">
        <v>1</v>
      </c>
      <c r="F263" s="36"/>
      <c r="G263" s="36"/>
      <c r="H263" s="36"/>
      <c r="I263" s="36"/>
      <c r="J263" s="36"/>
      <c r="K263" s="36"/>
      <c r="L263" s="71"/>
      <c r="M263" s="36"/>
      <c r="N263" s="36"/>
      <c r="O263" s="36"/>
      <c r="P263" s="36"/>
      <c r="Q263" s="173"/>
      <c r="R263" s="205"/>
      <c r="S263" s="36"/>
      <c r="T263" s="36"/>
      <c r="U263" s="60">
        <v>11.9</v>
      </c>
      <c r="V263" s="60">
        <f>D263*U263/1000</f>
        <v>0.0119</v>
      </c>
    </row>
    <row r="264" spans="1:22" s="45" customFormat="1" ht="15.75">
      <c r="A264" s="315"/>
      <c r="B264" s="140" t="s">
        <v>39</v>
      </c>
      <c r="C264" s="33"/>
      <c r="D264" s="35">
        <v>17</v>
      </c>
      <c r="E264" s="35">
        <v>15</v>
      </c>
      <c r="F264" s="36"/>
      <c r="G264" s="36"/>
      <c r="H264" s="36"/>
      <c r="I264" s="36"/>
      <c r="J264" s="36"/>
      <c r="K264" s="36"/>
      <c r="L264" s="71"/>
      <c r="M264" s="36"/>
      <c r="N264" s="36"/>
      <c r="O264" s="36"/>
      <c r="P264" s="36"/>
      <c r="Q264" s="173"/>
      <c r="R264" s="205"/>
      <c r="S264" s="36"/>
      <c r="T264" s="36"/>
      <c r="U264" s="60">
        <v>700</v>
      </c>
      <c r="V264" s="60">
        <f>D264*U264/1000</f>
        <v>11.9</v>
      </c>
    </row>
    <row r="265" spans="1:22" s="45" customFormat="1" ht="31.5">
      <c r="A265" s="315"/>
      <c r="B265" s="147" t="s">
        <v>259</v>
      </c>
      <c r="C265" s="33">
        <v>200</v>
      </c>
      <c r="D265" s="33"/>
      <c r="E265" s="33"/>
      <c r="F265" s="34">
        <v>0.2</v>
      </c>
      <c r="G265" s="34">
        <v>0.2</v>
      </c>
      <c r="H265" s="38">
        <v>7</v>
      </c>
      <c r="I265" s="33">
        <v>92</v>
      </c>
      <c r="J265" s="33">
        <v>0.7</v>
      </c>
      <c r="K265" s="36"/>
      <c r="L265" s="71"/>
      <c r="M265" s="36"/>
      <c r="N265" s="36"/>
      <c r="O265" s="36"/>
      <c r="P265" s="36"/>
      <c r="Q265" s="173"/>
      <c r="R265" s="205"/>
      <c r="S265" s="36"/>
      <c r="T265" s="36"/>
      <c r="U265" s="34"/>
      <c r="V265" s="34">
        <f>SUM(V266:V268)</f>
        <v>8.261299999999999</v>
      </c>
    </row>
    <row r="266" spans="1:22" s="14" customFormat="1" ht="15.75">
      <c r="A266" s="26"/>
      <c r="B266" s="140" t="s">
        <v>112</v>
      </c>
      <c r="C266" s="36"/>
      <c r="D266" s="35">
        <v>50</v>
      </c>
      <c r="E266" s="35">
        <v>45</v>
      </c>
      <c r="F266" s="36"/>
      <c r="G266" s="36"/>
      <c r="H266" s="36"/>
      <c r="I266" s="36"/>
      <c r="J266" s="36"/>
      <c r="K266" s="33"/>
      <c r="L266" s="186"/>
      <c r="M266" s="34">
        <v>1.6</v>
      </c>
      <c r="N266" s="34">
        <v>0.01</v>
      </c>
      <c r="O266" s="34">
        <v>0</v>
      </c>
      <c r="P266" s="34">
        <v>0.08</v>
      </c>
      <c r="Q266" s="34">
        <v>6.79</v>
      </c>
      <c r="R266" s="79">
        <v>0.91</v>
      </c>
      <c r="S266" s="34">
        <v>3.4</v>
      </c>
      <c r="T266" s="34">
        <v>0.91</v>
      </c>
      <c r="U266" s="60">
        <v>162.72</v>
      </c>
      <c r="V266" s="60">
        <f>D266*U266/1000</f>
        <v>8.136</v>
      </c>
    </row>
    <row r="267" spans="1:22" s="45" customFormat="1" ht="15.75">
      <c r="A267" s="315"/>
      <c r="B267" s="140" t="s">
        <v>54</v>
      </c>
      <c r="C267" s="36"/>
      <c r="D267" s="35">
        <v>178</v>
      </c>
      <c r="E267" s="35">
        <v>178</v>
      </c>
      <c r="F267" s="36"/>
      <c r="G267" s="36"/>
      <c r="H267" s="36"/>
      <c r="I267" s="36"/>
      <c r="J267" s="36"/>
      <c r="K267" s="36"/>
      <c r="L267" s="187"/>
      <c r="M267" s="36"/>
      <c r="N267" s="36"/>
      <c r="O267" s="36"/>
      <c r="P267" s="36"/>
      <c r="Q267" s="36"/>
      <c r="R267" s="205"/>
      <c r="S267" s="36"/>
      <c r="T267" s="36"/>
      <c r="U267" s="60"/>
      <c r="V267" s="60">
        <f>D267*U267/1000</f>
        <v>0</v>
      </c>
    </row>
    <row r="268" spans="1:22" s="45" customFormat="1" ht="15.75">
      <c r="A268" s="315"/>
      <c r="B268" s="170" t="s">
        <v>116</v>
      </c>
      <c r="C268" s="81"/>
      <c r="D268" s="168">
        <v>0.07</v>
      </c>
      <c r="E268" s="171">
        <v>0.07</v>
      </c>
      <c r="F268" s="172"/>
      <c r="G268" s="172"/>
      <c r="H268" s="172"/>
      <c r="I268" s="172"/>
      <c r="J268" s="172"/>
      <c r="K268" s="36"/>
      <c r="L268" s="187"/>
      <c r="M268" s="36"/>
      <c r="N268" s="36"/>
      <c r="O268" s="36"/>
      <c r="P268" s="36"/>
      <c r="Q268" s="36"/>
      <c r="R268" s="205"/>
      <c r="S268" s="36"/>
      <c r="T268" s="36"/>
      <c r="U268" s="428">
        <v>1790</v>
      </c>
      <c r="V268" s="60">
        <f>D268*U268/1000</f>
        <v>0.12530000000000002</v>
      </c>
    </row>
    <row r="269" spans="1:22" s="6" customFormat="1" ht="15.75">
      <c r="A269" s="70"/>
      <c r="B269" s="123" t="s">
        <v>53</v>
      </c>
      <c r="C269" s="40">
        <v>40</v>
      </c>
      <c r="D269" s="69"/>
      <c r="E269" s="69"/>
      <c r="F269" s="40">
        <v>2.8</v>
      </c>
      <c r="G269" s="40">
        <v>0.48</v>
      </c>
      <c r="H269" s="40">
        <v>15.6</v>
      </c>
      <c r="I269" s="87">
        <v>80</v>
      </c>
      <c r="J269" s="74">
        <v>1.5</v>
      </c>
      <c r="K269" s="172"/>
      <c r="L269" s="162"/>
      <c r="M269" s="149"/>
      <c r="N269" s="162"/>
      <c r="O269" s="164"/>
      <c r="P269" s="162"/>
      <c r="Q269" s="150"/>
      <c r="R269" s="206"/>
      <c r="S269" s="161"/>
      <c r="T269" s="162"/>
      <c r="U269" s="60">
        <v>50.08</v>
      </c>
      <c r="V269" s="34">
        <f>C269*U269/1000</f>
        <v>2.0031999999999996</v>
      </c>
    </row>
    <row r="270" spans="1:22" s="70" customFormat="1" ht="31.5">
      <c r="A270" s="276" t="s">
        <v>198</v>
      </c>
      <c r="B270" s="317"/>
      <c r="C270" s="277">
        <v>885</v>
      </c>
      <c r="D270" s="277"/>
      <c r="E270" s="278"/>
      <c r="F270" s="413">
        <f aca="true" t="shared" si="20" ref="F270:T270">F245+F247+F257+F260+F265+F269</f>
        <v>25</v>
      </c>
      <c r="G270" s="413">
        <f t="shared" si="20"/>
        <v>17.16</v>
      </c>
      <c r="H270" s="413">
        <f t="shared" si="20"/>
        <v>81.03999999999999</v>
      </c>
      <c r="I270" s="413">
        <f t="shared" si="20"/>
        <v>613</v>
      </c>
      <c r="J270" s="413">
        <f t="shared" si="20"/>
        <v>8</v>
      </c>
      <c r="K270" s="413">
        <f t="shared" si="20"/>
        <v>0</v>
      </c>
      <c r="L270" s="413">
        <f t="shared" si="20"/>
        <v>0</v>
      </c>
      <c r="M270" s="413">
        <f t="shared" si="20"/>
        <v>41.900000000000006</v>
      </c>
      <c r="N270" s="413">
        <f t="shared" si="20"/>
        <v>0.16</v>
      </c>
      <c r="O270" s="413">
        <f t="shared" si="20"/>
        <v>25.4</v>
      </c>
      <c r="P270" s="413">
        <f t="shared" si="20"/>
        <v>4.6899999999999995</v>
      </c>
      <c r="Q270" s="413">
        <f t="shared" si="20"/>
        <v>289.4</v>
      </c>
      <c r="R270" s="413">
        <f t="shared" si="20"/>
        <v>174.91</v>
      </c>
      <c r="S270" s="413">
        <f t="shared" si="20"/>
        <v>62.75</v>
      </c>
      <c r="T270" s="413">
        <f t="shared" si="20"/>
        <v>2.9</v>
      </c>
      <c r="U270" s="413"/>
      <c r="V270" s="413">
        <f>V245+V247+V257+V260+V265+V269</f>
        <v>129.10997999999998</v>
      </c>
    </row>
    <row r="271" spans="1:22" s="7" customFormat="1" ht="31.5">
      <c r="A271" s="280" t="s">
        <v>199</v>
      </c>
      <c r="B271" s="318"/>
      <c r="C271" s="281" t="s">
        <v>200</v>
      </c>
      <c r="D271" s="282"/>
      <c r="E271" s="282"/>
      <c r="F271" s="414">
        <f aca="true" t="shared" si="21" ref="F271:T271">F243+F270</f>
        <v>48.4</v>
      </c>
      <c r="G271" s="414">
        <f t="shared" si="21"/>
        <v>38.2</v>
      </c>
      <c r="H271" s="414">
        <f t="shared" si="21"/>
        <v>135.74</v>
      </c>
      <c r="I271" s="414">
        <f t="shared" si="21"/>
        <v>1214</v>
      </c>
      <c r="J271" s="414">
        <f t="shared" si="21"/>
        <v>13.3</v>
      </c>
      <c r="K271" s="414">
        <f t="shared" si="21"/>
        <v>0</v>
      </c>
      <c r="L271" s="414">
        <f t="shared" si="21"/>
        <v>0</v>
      </c>
      <c r="M271" s="414">
        <f t="shared" si="21"/>
        <v>44.7</v>
      </c>
      <c r="N271" s="414">
        <f t="shared" si="21"/>
        <v>0.589</v>
      </c>
      <c r="O271" s="414">
        <f t="shared" si="21"/>
        <v>137</v>
      </c>
      <c r="P271" s="414">
        <f t="shared" si="21"/>
        <v>5.81</v>
      </c>
      <c r="Q271" s="414">
        <f t="shared" si="21"/>
        <v>750.0799999999999</v>
      </c>
      <c r="R271" s="414">
        <f t="shared" si="21"/>
        <v>644.41</v>
      </c>
      <c r="S271" s="414">
        <f t="shared" si="21"/>
        <v>164.45</v>
      </c>
      <c r="T271" s="414">
        <f t="shared" si="21"/>
        <v>5.720000000000001</v>
      </c>
      <c r="U271" s="414"/>
      <c r="V271" s="414">
        <f>V243+V270</f>
        <v>175.77015999999998</v>
      </c>
    </row>
    <row r="272" spans="1:22" s="6" customFormat="1" ht="15.75">
      <c r="A272" s="258" t="s">
        <v>210</v>
      </c>
      <c r="B272" s="259"/>
      <c r="C272" s="260"/>
      <c r="D272" s="261"/>
      <c r="E272" s="258"/>
      <c r="F272" s="262"/>
      <c r="G272" s="263"/>
      <c r="H272" s="263"/>
      <c r="I272" s="263"/>
      <c r="J272" s="263"/>
      <c r="K272" s="302"/>
      <c r="L272" s="303"/>
      <c r="M272" s="304"/>
      <c r="N272" s="304"/>
      <c r="O272" s="304"/>
      <c r="P272" s="304"/>
      <c r="Q272" s="304"/>
      <c r="R272" s="304"/>
      <c r="S272" s="304"/>
      <c r="T272" s="305"/>
      <c r="U272" s="12"/>
      <c r="V272" s="10"/>
    </row>
    <row r="273" spans="1:22" s="6" customFormat="1" ht="15.75">
      <c r="A273" s="264" t="s">
        <v>52</v>
      </c>
      <c r="B273" s="308"/>
      <c r="C273" s="264"/>
      <c r="D273" s="265"/>
      <c r="E273" s="266"/>
      <c r="F273" s="267"/>
      <c r="G273" s="267"/>
      <c r="H273" s="267"/>
      <c r="I273" s="267"/>
      <c r="J273" s="267"/>
      <c r="K273" s="302"/>
      <c r="L273" s="303"/>
      <c r="M273" s="306"/>
      <c r="N273" s="306"/>
      <c r="O273" s="306"/>
      <c r="P273" s="306"/>
      <c r="Q273" s="306"/>
      <c r="R273" s="306"/>
      <c r="S273" s="306"/>
      <c r="T273" s="307"/>
      <c r="U273" s="12"/>
      <c r="V273" s="12"/>
    </row>
    <row r="274" spans="1:22" s="10" customFormat="1" ht="15.75">
      <c r="A274" s="43"/>
      <c r="B274" s="353" t="s">
        <v>118</v>
      </c>
      <c r="C274" s="33">
        <v>20</v>
      </c>
      <c r="D274" s="33"/>
      <c r="E274" s="33"/>
      <c r="F274" s="33">
        <v>4.64</v>
      </c>
      <c r="G274" s="33">
        <v>5.84</v>
      </c>
      <c r="H274" s="34">
        <v>0</v>
      </c>
      <c r="I274" s="33">
        <v>73</v>
      </c>
      <c r="J274" s="33">
        <v>0</v>
      </c>
      <c r="K274" s="309"/>
      <c r="L274" s="309" t="e">
        <f>SUM(#REF!+#REF!+#REF!+#REF!+#REF!+#REF!)</f>
        <v>#REF!</v>
      </c>
      <c r="M274" s="309" t="e">
        <f>SUM(#REF!+#REF!+#REF!+#REF!+#REF!+#REF!)</f>
        <v>#REF!</v>
      </c>
      <c r="N274" s="309" t="e">
        <f>SUM(#REF!+#REF!+#REF!+#REF!+#REF!+#REF!)</f>
        <v>#REF!</v>
      </c>
      <c r="O274" s="309" t="e">
        <f>SUM(#REF!+#REF!+#REF!+#REF!+#REF!+#REF!)</f>
        <v>#REF!</v>
      </c>
      <c r="P274" s="309" t="e">
        <f>SUM(#REF!+#REF!+#REF!+#REF!+#REF!+#REF!)</f>
        <v>#REF!</v>
      </c>
      <c r="Q274" s="309" t="e">
        <f>SUM(#REF!+#REF!+#REF!+#REF!+#REF!+#REF!)</f>
        <v>#REF!</v>
      </c>
      <c r="R274" s="309" t="e">
        <f>SUM(#REF!+#REF!+#REF!+#REF!+#REF!+#REF!)</f>
        <v>#REF!</v>
      </c>
      <c r="S274" s="309" t="e">
        <f>SUM(#REF!+#REF!+#REF!+#REF!+#REF!+#REF!)</f>
        <v>#REF!</v>
      </c>
      <c r="T274" s="309" t="e">
        <f>SUM(#REF!+#REF!+#REF!+#REF!+#REF!+#REF!)</f>
        <v>#REF!</v>
      </c>
      <c r="U274" s="34"/>
      <c r="V274" s="34">
        <f>V275</f>
        <v>15.4</v>
      </c>
    </row>
    <row r="275" spans="1:22" s="43" customFormat="1" ht="15.75">
      <c r="A275" s="28"/>
      <c r="B275" s="140" t="s">
        <v>39</v>
      </c>
      <c r="C275" s="35"/>
      <c r="D275" s="35">
        <v>22</v>
      </c>
      <c r="E275" s="35">
        <v>20</v>
      </c>
      <c r="F275" s="35"/>
      <c r="G275" s="35"/>
      <c r="H275" s="60"/>
      <c r="I275" s="35"/>
      <c r="J275" s="35"/>
      <c r="K275" s="33"/>
      <c r="L275" s="34"/>
      <c r="M275" s="30">
        <v>0.14</v>
      </c>
      <c r="N275" s="38">
        <v>0.004</v>
      </c>
      <c r="O275" s="108">
        <v>58</v>
      </c>
      <c r="P275" s="33">
        <v>0.1</v>
      </c>
      <c r="Q275" s="44">
        <v>176</v>
      </c>
      <c r="R275" s="79">
        <v>100</v>
      </c>
      <c r="S275" s="33">
        <v>0.7</v>
      </c>
      <c r="T275" s="34">
        <v>0.2</v>
      </c>
      <c r="U275" s="60">
        <v>700</v>
      </c>
      <c r="V275" s="60">
        <f>D275*U275/1000</f>
        <v>15.4</v>
      </c>
    </row>
    <row r="276" spans="1:22" s="28" customFormat="1" ht="31.5">
      <c r="A276" s="43"/>
      <c r="B276" s="119" t="s">
        <v>38</v>
      </c>
      <c r="C276" s="33">
        <v>200</v>
      </c>
      <c r="D276" s="33"/>
      <c r="E276" s="33"/>
      <c r="F276" s="33">
        <v>10.9</v>
      </c>
      <c r="G276" s="34">
        <v>14.6</v>
      </c>
      <c r="H276" s="33">
        <v>9.5</v>
      </c>
      <c r="I276" s="33">
        <v>295</v>
      </c>
      <c r="J276" s="33">
        <v>0.9</v>
      </c>
      <c r="K276" s="35"/>
      <c r="L276" s="60"/>
      <c r="M276" s="61"/>
      <c r="N276" s="62"/>
      <c r="O276" s="111"/>
      <c r="P276" s="35"/>
      <c r="Q276" s="101"/>
      <c r="R276" s="121"/>
      <c r="S276" s="35"/>
      <c r="T276" s="60"/>
      <c r="U276" s="34"/>
      <c r="V276" s="34">
        <f>SUM(V277:V284)</f>
        <v>47.86145</v>
      </c>
    </row>
    <row r="277" spans="1:22" s="43" customFormat="1" ht="15.75">
      <c r="A277" s="12"/>
      <c r="B277" s="137" t="s">
        <v>89</v>
      </c>
      <c r="C277" s="54"/>
      <c r="D277" s="46">
        <v>110</v>
      </c>
      <c r="E277" s="50">
        <v>110</v>
      </c>
      <c r="F277" s="23"/>
      <c r="G277" s="51"/>
      <c r="H277" s="51"/>
      <c r="I277" s="51"/>
      <c r="J277" s="51"/>
      <c r="K277" s="33"/>
      <c r="L277" s="34"/>
      <c r="M277" s="34">
        <v>0.5</v>
      </c>
      <c r="N277" s="33">
        <v>0.1</v>
      </c>
      <c r="O277" s="79">
        <v>291.6</v>
      </c>
      <c r="P277" s="33">
        <v>1.7</v>
      </c>
      <c r="Q277" s="38">
        <v>99.8</v>
      </c>
      <c r="R277" s="79">
        <v>224.8</v>
      </c>
      <c r="S277" s="38">
        <v>17.1</v>
      </c>
      <c r="T277" s="33">
        <v>2.5</v>
      </c>
      <c r="U277" s="51">
        <v>248</v>
      </c>
      <c r="V277" s="60">
        <f>D277*U277/1000</f>
        <v>27.28</v>
      </c>
    </row>
    <row r="278" spans="2:22" s="12" customFormat="1" ht="15.75">
      <c r="B278" s="137" t="s">
        <v>86</v>
      </c>
      <c r="C278" s="54"/>
      <c r="D278" s="46">
        <v>42</v>
      </c>
      <c r="E278" s="50">
        <v>42</v>
      </c>
      <c r="F278" s="23"/>
      <c r="G278" s="51"/>
      <c r="H278" s="51"/>
      <c r="I278" s="51"/>
      <c r="J278" s="51"/>
      <c r="K278" s="51"/>
      <c r="L278" s="51"/>
      <c r="M278" s="51"/>
      <c r="N278" s="51"/>
      <c r="O278" s="105"/>
      <c r="P278" s="51"/>
      <c r="Q278" s="95"/>
      <c r="R278" s="105"/>
      <c r="S278" s="51"/>
      <c r="T278" s="51"/>
      <c r="U278" s="51">
        <v>55.18</v>
      </c>
      <c r="V278" s="60">
        <f aca="true" t="shared" si="22" ref="V278:V284">D278*U278/1000</f>
        <v>2.31756</v>
      </c>
    </row>
    <row r="279" spans="2:22" s="12" customFormat="1" ht="15.75">
      <c r="B279" s="137" t="s">
        <v>57</v>
      </c>
      <c r="C279" s="54"/>
      <c r="D279" s="46">
        <v>3</v>
      </c>
      <c r="E279" s="50">
        <v>3</v>
      </c>
      <c r="F279" s="23"/>
      <c r="G279" s="51"/>
      <c r="H279" s="51"/>
      <c r="I279" s="51"/>
      <c r="J279" s="51"/>
      <c r="K279" s="51"/>
      <c r="L279" s="51"/>
      <c r="M279" s="51"/>
      <c r="N279" s="51"/>
      <c r="O279" s="105"/>
      <c r="P279" s="51"/>
      <c r="Q279" s="95"/>
      <c r="R279" s="105"/>
      <c r="S279" s="51"/>
      <c r="T279" s="51"/>
      <c r="U279" s="51">
        <v>125.7</v>
      </c>
      <c r="V279" s="60">
        <f t="shared" si="22"/>
        <v>0.37710000000000005</v>
      </c>
    </row>
    <row r="280" spans="1:22" s="12" customFormat="1" ht="15.75">
      <c r="A280" s="59"/>
      <c r="B280" s="138" t="s">
        <v>26</v>
      </c>
      <c r="C280" s="114"/>
      <c r="D280" s="55"/>
      <c r="E280" s="56">
        <v>145</v>
      </c>
      <c r="F280" s="57"/>
      <c r="G280" s="58"/>
      <c r="H280" s="58"/>
      <c r="I280" s="58"/>
      <c r="J280" s="58"/>
      <c r="K280" s="51"/>
      <c r="L280" s="51"/>
      <c r="M280" s="51"/>
      <c r="N280" s="51"/>
      <c r="O280" s="105"/>
      <c r="P280" s="51"/>
      <c r="Q280" s="95"/>
      <c r="R280" s="105"/>
      <c r="S280" s="51"/>
      <c r="T280" s="51"/>
      <c r="U280" s="58"/>
      <c r="V280" s="60">
        <f t="shared" si="22"/>
        <v>0</v>
      </c>
    </row>
    <row r="281" spans="1:22" s="59" customFormat="1" ht="15.75">
      <c r="A281" s="12"/>
      <c r="B281" s="137" t="s">
        <v>58</v>
      </c>
      <c r="C281" s="54"/>
      <c r="D281" s="46">
        <v>5</v>
      </c>
      <c r="E281" s="50">
        <v>5</v>
      </c>
      <c r="F281" s="23"/>
      <c r="G281" s="51"/>
      <c r="H281" s="51"/>
      <c r="I281" s="51"/>
      <c r="J281" s="51"/>
      <c r="K281" s="58"/>
      <c r="L281" s="58"/>
      <c r="M281" s="58"/>
      <c r="N281" s="58"/>
      <c r="O281" s="115"/>
      <c r="P281" s="58"/>
      <c r="Q281" s="116"/>
      <c r="R281" s="115"/>
      <c r="S281" s="58"/>
      <c r="T281" s="58"/>
      <c r="U281" s="51">
        <v>653.09</v>
      </c>
      <c r="V281" s="60">
        <f t="shared" si="22"/>
        <v>3.2654500000000004</v>
      </c>
    </row>
    <row r="282" spans="2:22" s="12" customFormat="1" ht="15.75">
      <c r="B282" s="137" t="s">
        <v>14</v>
      </c>
      <c r="C282" s="54"/>
      <c r="D282" s="46">
        <v>0.6</v>
      </c>
      <c r="E282" s="50">
        <v>0.6</v>
      </c>
      <c r="F282" s="23"/>
      <c r="G282" s="51"/>
      <c r="H282" s="51"/>
      <c r="I282" s="51"/>
      <c r="J282" s="51"/>
      <c r="K282" s="51"/>
      <c r="L282" s="51"/>
      <c r="M282" s="51"/>
      <c r="N282" s="51"/>
      <c r="O282" s="105"/>
      <c r="P282" s="51"/>
      <c r="Q282" s="95"/>
      <c r="R282" s="105"/>
      <c r="S282" s="51"/>
      <c r="T282" s="51"/>
      <c r="U282" s="51">
        <v>11.9</v>
      </c>
      <c r="V282" s="60">
        <f t="shared" si="22"/>
        <v>0.00714</v>
      </c>
    </row>
    <row r="283" spans="1:22" s="12" customFormat="1" ht="15.75">
      <c r="A283" s="10"/>
      <c r="B283" s="139" t="s">
        <v>27</v>
      </c>
      <c r="C283" s="52"/>
      <c r="D283" s="15"/>
      <c r="E283" s="48">
        <v>50</v>
      </c>
      <c r="F283" s="18"/>
      <c r="G283" s="53"/>
      <c r="H283" s="53"/>
      <c r="I283" s="53"/>
      <c r="J283" s="53"/>
      <c r="K283" s="51"/>
      <c r="L283" s="51"/>
      <c r="M283" s="51"/>
      <c r="N283" s="51"/>
      <c r="O283" s="105"/>
      <c r="P283" s="51"/>
      <c r="Q283" s="95"/>
      <c r="R283" s="105"/>
      <c r="S283" s="51"/>
      <c r="T283" s="51"/>
      <c r="U283" s="53"/>
      <c r="V283" s="60">
        <f t="shared" si="22"/>
        <v>0</v>
      </c>
    </row>
    <row r="284" spans="1:22" s="10" customFormat="1" ht="15.75">
      <c r="A284" s="12"/>
      <c r="B284" s="137" t="s">
        <v>260</v>
      </c>
      <c r="C284" s="54"/>
      <c r="D284" s="46">
        <v>90</v>
      </c>
      <c r="E284" s="50">
        <v>50</v>
      </c>
      <c r="F284" s="23"/>
      <c r="G284" s="51"/>
      <c r="H284" s="51"/>
      <c r="I284" s="51"/>
      <c r="J284" s="51"/>
      <c r="K284" s="53"/>
      <c r="L284" s="53"/>
      <c r="M284" s="53"/>
      <c r="N284" s="53"/>
      <c r="O284" s="117"/>
      <c r="P284" s="53"/>
      <c r="Q284" s="103"/>
      <c r="R284" s="117"/>
      <c r="S284" s="53"/>
      <c r="T284" s="53"/>
      <c r="U284" s="51">
        <v>162.38</v>
      </c>
      <c r="V284" s="60">
        <f t="shared" si="22"/>
        <v>14.614199999999999</v>
      </c>
    </row>
    <row r="285" spans="1:22" s="12" customFormat="1" ht="15.75">
      <c r="A285" s="11"/>
      <c r="B285" s="147" t="s">
        <v>50</v>
      </c>
      <c r="C285" s="33">
        <v>125</v>
      </c>
      <c r="D285" s="33"/>
      <c r="E285" s="33"/>
      <c r="F285" s="33">
        <v>6.2</v>
      </c>
      <c r="G285" s="34">
        <v>3.1</v>
      </c>
      <c r="H285" s="33">
        <v>9.2</v>
      </c>
      <c r="I285" s="33">
        <v>85</v>
      </c>
      <c r="J285" s="33">
        <v>0.9</v>
      </c>
      <c r="K285" s="51"/>
      <c r="L285" s="51"/>
      <c r="M285" s="51"/>
      <c r="N285" s="51"/>
      <c r="O285" s="105"/>
      <c r="P285" s="51"/>
      <c r="Q285" s="95"/>
      <c r="R285" s="105"/>
      <c r="S285" s="51"/>
      <c r="T285" s="51"/>
      <c r="U285" s="34"/>
      <c r="V285" s="34">
        <f>V286</f>
        <v>18</v>
      </c>
    </row>
    <row r="286" spans="1:22" s="11" customFormat="1" ht="15.75">
      <c r="A286" s="12"/>
      <c r="B286" s="137" t="s">
        <v>51</v>
      </c>
      <c r="C286" s="54"/>
      <c r="D286" s="46">
        <v>125</v>
      </c>
      <c r="E286" s="50">
        <v>125</v>
      </c>
      <c r="F286" s="23"/>
      <c r="G286" s="51"/>
      <c r="H286" s="51"/>
      <c r="I286" s="51"/>
      <c r="J286" s="51"/>
      <c r="K286" s="33"/>
      <c r="L286" s="34"/>
      <c r="M286" s="34">
        <v>0.9</v>
      </c>
      <c r="N286" s="33">
        <v>0.1</v>
      </c>
      <c r="O286" s="34">
        <v>27</v>
      </c>
      <c r="P286" s="33">
        <v>0</v>
      </c>
      <c r="Q286" s="79">
        <v>165</v>
      </c>
      <c r="R286" s="79">
        <v>130</v>
      </c>
      <c r="S286" s="34">
        <v>20.4</v>
      </c>
      <c r="T286" s="33">
        <v>0.1</v>
      </c>
      <c r="U286" s="51">
        <v>144</v>
      </c>
      <c r="V286" s="60">
        <f>D286*U286/1000</f>
        <v>18</v>
      </c>
    </row>
    <row r="287" spans="1:22" s="12" customFormat="1" ht="15.75">
      <c r="A287" s="345"/>
      <c r="B287" s="371" t="s">
        <v>125</v>
      </c>
      <c r="C287" s="40">
        <v>200</v>
      </c>
      <c r="D287" s="40"/>
      <c r="E287" s="40"/>
      <c r="F287" s="40">
        <v>4.07</v>
      </c>
      <c r="G287" s="40">
        <v>3.5</v>
      </c>
      <c r="H287" s="40">
        <v>9</v>
      </c>
      <c r="I287" s="40">
        <v>109</v>
      </c>
      <c r="J287" s="40">
        <v>0.9</v>
      </c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40"/>
      <c r="V287" s="34">
        <f>SUM(V288:V290)</f>
        <v>8.468</v>
      </c>
    </row>
    <row r="288" spans="1:22" s="43" customFormat="1" ht="15.75">
      <c r="A288" s="354"/>
      <c r="B288" s="372" t="s">
        <v>92</v>
      </c>
      <c r="C288" s="40"/>
      <c r="D288" s="69">
        <v>5</v>
      </c>
      <c r="E288" s="69">
        <v>5</v>
      </c>
      <c r="F288" s="71"/>
      <c r="G288" s="71"/>
      <c r="H288" s="71"/>
      <c r="I288" s="71"/>
      <c r="J288" s="71"/>
      <c r="K288" s="40"/>
      <c r="L288" s="40"/>
      <c r="M288" s="42">
        <v>1.6</v>
      </c>
      <c r="N288" s="40">
        <v>0.05</v>
      </c>
      <c r="O288" s="107">
        <v>18</v>
      </c>
      <c r="P288" s="40">
        <v>0.01</v>
      </c>
      <c r="Q288" s="97">
        <v>152.2</v>
      </c>
      <c r="R288" s="87">
        <v>125</v>
      </c>
      <c r="S288" s="40">
        <v>21.34</v>
      </c>
      <c r="T288" s="40">
        <v>0.5</v>
      </c>
      <c r="U288" s="39">
        <v>590</v>
      </c>
      <c r="V288" s="60">
        <f>D288*U288/1000</f>
        <v>2.95</v>
      </c>
    </row>
    <row r="289" spans="1:22" s="6" customFormat="1" ht="15.75">
      <c r="A289" s="354"/>
      <c r="B289" s="372" t="s">
        <v>54</v>
      </c>
      <c r="C289" s="40"/>
      <c r="D289" s="69">
        <v>100</v>
      </c>
      <c r="E289" s="69">
        <v>100</v>
      </c>
      <c r="F289" s="71"/>
      <c r="G289" s="71"/>
      <c r="H289" s="71"/>
      <c r="I289" s="71"/>
      <c r="J289" s="71"/>
      <c r="K289" s="21"/>
      <c r="L289" s="21"/>
      <c r="M289" s="16"/>
      <c r="N289" s="21"/>
      <c r="O289" s="110"/>
      <c r="P289" s="21"/>
      <c r="Q289" s="98"/>
      <c r="R289" s="202"/>
      <c r="S289" s="21"/>
      <c r="T289" s="21"/>
      <c r="U289" s="39"/>
      <c r="V289" s="60">
        <f>D289*U289/1000</f>
        <v>0</v>
      </c>
    </row>
    <row r="290" spans="1:22" s="6" customFormat="1" ht="15.75">
      <c r="A290" s="354"/>
      <c r="B290" s="372" t="s">
        <v>86</v>
      </c>
      <c r="C290" s="40"/>
      <c r="D290" s="69">
        <v>100</v>
      </c>
      <c r="E290" s="69">
        <v>100</v>
      </c>
      <c r="F290" s="71"/>
      <c r="G290" s="71"/>
      <c r="H290" s="71"/>
      <c r="I290" s="71"/>
      <c r="J290" s="71"/>
      <c r="K290" s="21"/>
      <c r="L290" s="21"/>
      <c r="M290" s="21"/>
      <c r="N290" s="21"/>
      <c r="O290" s="112"/>
      <c r="P290" s="21"/>
      <c r="Q290" s="99"/>
      <c r="R290" s="202"/>
      <c r="S290" s="21"/>
      <c r="T290" s="21"/>
      <c r="U290" s="39">
        <v>55.18</v>
      </c>
      <c r="V290" s="60">
        <f>D290*U290/1000</f>
        <v>5.518</v>
      </c>
    </row>
    <row r="291" spans="1:22" s="6" customFormat="1" ht="15.75">
      <c r="A291" s="70"/>
      <c r="B291" s="123" t="s">
        <v>53</v>
      </c>
      <c r="C291" s="40">
        <v>20</v>
      </c>
      <c r="D291" s="69"/>
      <c r="E291" s="69"/>
      <c r="F291" s="40">
        <v>1.4</v>
      </c>
      <c r="G291" s="40">
        <v>0.24</v>
      </c>
      <c r="H291" s="40">
        <v>7.8</v>
      </c>
      <c r="I291" s="87">
        <v>40</v>
      </c>
      <c r="J291" s="87"/>
      <c r="K291" s="21"/>
      <c r="L291" s="21"/>
      <c r="M291" s="21"/>
      <c r="N291" s="21"/>
      <c r="O291" s="112"/>
      <c r="P291" s="21"/>
      <c r="Q291" s="99"/>
      <c r="R291" s="202"/>
      <c r="S291" s="21"/>
      <c r="T291" s="21"/>
      <c r="U291" s="60">
        <v>50.08</v>
      </c>
      <c r="V291" s="34">
        <f>C291*U291/1000</f>
        <v>1.0015999999999998</v>
      </c>
    </row>
    <row r="292" spans="1:22" s="70" customFormat="1" ht="31.5">
      <c r="A292" s="270" t="s">
        <v>197</v>
      </c>
      <c r="B292" s="271"/>
      <c r="C292" s="272" t="s">
        <v>211</v>
      </c>
      <c r="D292" s="271"/>
      <c r="E292" s="273"/>
      <c r="F292" s="287">
        <f>SUM(F274+F276+F285+F287+F291)</f>
        <v>27.209999999999997</v>
      </c>
      <c r="G292" s="287">
        <f>SUM(G274+G276+G285+G287+G291)</f>
        <v>27.279999999999998</v>
      </c>
      <c r="H292" s="287">
        <f>SUM(H274+H276+H285+H287+H291)</f>
        <v>35.5</v>
      </c>
      <c r="I292" s="287">
        <f>SUM(I274+I276+I285+I287+I291)</f>
        <v>602</v>
      </c>
      <c r="J292" s="287">
        <f>SUM(J274+J276+J285+J287+J291)</f>
        <v>2.7</v>
      </c>
      <c r="K292" s="40"/>
      <c r="L292" s="40"/>
      <c r="M292" s="67">
        <v>0</v>
      </c>
      <c r="N292" s="40">
        <v>0.04</v>
      </c>
      <c r="O292" s="107">
        <v>0</v>
      </c>
      <c r="P292" s="40">
        <v>0.28</v>
      </c>
      <c r="Q292" s="97">
        <v>5.8</v>
      </c>
      <c r="R292" s="87">
        <v>30</v>
      </c>
      <c r="S292" s="41">
        <v>9.4</v>
      </c>
      <c r="T292" s="40">
        <v>0.78</v>
      </c>
      <c r="U292" s="287"/>
      <c r="V292" s="287">
        <f>V274+V276+V285+V287+V291</f>
        <v>90.73105</v>
      </c>
    </row>
    <row r="293" spans="1:22" s="11" customFormat="1" ht="15.75">
      <c r="A293" s="264" t="s">
        <v>11</v>
      </c>
      <c r="B293" s="308"/>
      <c r="C293" s="264"/>
      <c r="D293" s="265"/>
      <c r="E293" s="266"/>
      <c r="F293" s="267"/>
      <c r="G293" s="267"/>
      <c r="H293" s="267"/>
      <c r="I293" s="267"/>
      <c r="J293" s="267"/>
      <c r="K293" s="287" t="e">
        <f>SUM(K275+K277+K286+K288+#REF!+K292)</f>
        <v>#REF!</v>
      </c>
      <c r="L293" s="287" t="e">
        <f>SUM(L275+L277+L286+L288+#REF!+L292)</f>
        <v>#REF!</v>
      </c>
      <c r="M293" s="287" t="e">
        <f>SUM(M275+M277+M286+M288+#REF!+M292)</f>
        <v>#REF!</v>
      </c>
      <c r="N293" s="287" t="e">
        <f>SUM(N275+N277+N286+N288+#REF!+N292)</f>
        <v>#REF!</v>
      </c>
      <c r="O293" s="287" t="e">
        <f>SUM(O275+O277+O286+O288+#REF!+O292)</f>
        <v>#REF!</v>
      </c>
      <c r="P293" s="287" t="e">
        <f>SUM(P275+P277+P286+P288+#REF!+P292)</f>
        <v>#REF!</v>
      </c>
      <c r="Q293" s="287" t="e">
        <f>SUM(Q275+Q277+Q286+Q288+#REF!+Q292)</f>
        <v>#REF!</v>
      </c>
      <c r="R293" s="287" t="e">
        <f>SUM(R275+R277+R286+R288+#REF!+R292)</f>
        <v>#REF!</v>
      </c>
      <c r="S293" s="287" t="e">
        <f>SUM(S275+S277+S286+S288+#REF!+S292)</f>
        <v>#REF!</v>
      </c>
      <c r="T293" s="287" t="e">
        <f>SUM(T275+T277+T286+T288+#REF!+T292)</f>
        <v>#REF!</v>
      </c>
      <c r="U293" s="70"/>
      <c r="V293" s="43"/>
    </row>
    <row r="294" spans="1:22" s="10" customFormat="1" ht="31.5">
      <c r="A294" s="73"/>
      <c r="B294" s="125" t="s">
        <v>261</v>
      </c>
      <c r="C294" s="40">
        <v>40</v>
      </c>
      <c r="D294" s="40"/>
      <c r="E294" s="40"/>
      <c r="F294" s="40">
        <v>0.32</v>
      </c>
      <c r="G294" s="41">
        <v>0.04</v>
      </c>
      <c r="H294" s="41">
        <v>0.68</v>
      </c>
      <c r="I294" s="40">
        <v>4</v>
      </c>
      <c r="J294" s="40">
        <v>0.06</v>
      </c>
      <c r="K294" s="309" t="e">
        <f>SUM(#REF!+#REF!+#REF!+#REF!+#REF!+#REF!+K297+#REF!)</f>
        <v>#REF!</v>
      </c>
      <c r="L294" s="309" t="e">
        <f>SUM(#REF!+#REF!+#REF!+#REF!+#REF!+#REF!+L297+#REF!)</f>
        <v>#REF!</v>
      </c>
      <c r="M294" s="309"/>
      <c r="N294" s="309"/>
      <c r="O294" s="309"/>
      <c r="P294" s="309"/>
      <c r="Q294" s="309"/>
      <c r="R294" s="309"/>
      <c r="S294" s="309"/>
      <c r="T294" s="309"/>
      <c r="U294" s="37"/>
      <c r="V294" s="34">
        <f>V295</f>
        <v>10.87946</v>
      </c>
    </row>
    <row r="295" spans="1:22" s="73" customFormat="1" ht="15.75">
      <c r="A295" s="6"/>
      <c r="B295" s="155" t="s">
        <v>223</v>
      </c>
      <c r="C295" s="69"/>
      <c r="D295" s="69">
        <v>67</v>
      </c>
      <c r="E295" s="69">
        <v>40</v>
      </c>
      <c r="F295" s="69"/>
      <c r="G295" s="86"/>
      <c r="H295" s="86"/>
      <c r="I295" s="69"/>
      <c r="J295" s="69"/>
      <c r="K295" s="77"/>
      <c r="L295" s="77"/>
      <c r="M295" s="67">
        <v>1.4</v>
      </c>
      <c r="N295" s="40">
        <v>0.01</v>
      </c>
      <c r="O295" s="41">
        <v>0</v>
      </c>
      <c r="P295" s="41">
        <v>0.04</v>
      </c>
      <c r="Q295" s="97">
        <v>9.2</v>
      </c>
      <c r="R295" s="74">
        <v>9.6</v>
      </c>
      <c r="S295" s="41">
        <v>5.6</v>
      </c>
      <c r="T295" s="40">
        <v>0.024</v>
      </c>
      <c r="U295" s="60">
        <v>162.38</v>
      </c>
      <c r="V295" s="60">
        <f>D295*U295/1000</f>
        <v>10.87946</v>
      </c>
    </row>
    <row r="296" spans="1:22" s="6" customFormat="1" ht="31.5">
      <c r="A296" s="43"/>
      <c r="B296" s="134" t="s">
        <v>127</v>
      </c>
      <c r="C296" s="355" t="s">
        <v>128</v>
      </c>
      <c r="D296" s="42"/>
      <c r="E296" s="66"/>
      <c r="F296" s="67">
        <v>22.8</v>
      </c>
      <c r="G296" s="68">
        <v>23.7</v>
      </c>
      <c r="H296" s="94">
        <v>79</v>
      </c>
      <c r="I296" s="104">
        <v>232</v>
      </c>
      <c r="J296" s="104">
        <v>0.8</v>
      </c>
      <c r="K296" s="71"/>
      <c r="L296" s="71"/>
      <c r="M296" s="156"/>
      <c r="N296" s="69"/>
      <c r="O296" s="86"/>
      <c r="P296" s="86"/>
      <c r="Q296" s="293"/>
      <c r="R296" s="294"/>
      <c r="S296" s="86"/>
      <c r="T296" s="69"/>
      <c r="U296" s="351"/>
      <c r="V296" s="34">
        <f>SUM(V297:V310)</f>
        <v>19.92694</v>
      </c>
    </row>
    <row r="297" spans="1:22" s="10" customFormat="1" ht="15.75">
      <c r="A297" s="75"/>
      <c r="B297" s="143" t="s">
        <v>262</v>
      </c>
      <c r="C297" s="429"/>
      <c r="D297" s="61">
        <v>16</v>
      </c>
      <c r="E297" s="430">
        <v>16</v>
      </c>
      <c r="F297" s="64"/>
      <c r="G297" s="411"/>
      <c r="H297" s="411"/>
      <c r="I297" s="411"/>
      <c r="J297" s="411"/>
      <c r="K297" s="352"/>
      <c r="L297" s="352"/>
      <c r="M297" s="352">
        <v>2.5</v>
      </c>
      <c r="N297" s="352">
        <v>0.1</v>
      </c>
      <c r="O297" s="431">
        <v>13.8</v>
      </c>
      <c r="P297" s="352">
        <v>0.3</v>
      </c>
      <c r="Q297" s="352">
        <v>45.5</v>
      </c>
      <c r="R297" s="432">
        <v>79.7</v>
      </c>
      <c r="S297" s="431">
        <v>24.9</v>
      </c>
      <c r="T297" s="352">
        <v>1</v>
      </c>
      <c r="U297" s="410">
        <v>440</v>
      </c>
      <c r="V297" s="60">
        <f>D297*U297/1000</f>
        <v>7.04</v>
      </c>
    </row>
    <row r="298" spans="1:22" s="12" customFormat="1" ht="15.75">
      <c r="A298" s="75"/>
      <c r="B298" s="143" t="s">
        <v>245</v>
      </c>
      <c r="C298" s="89"/>
      <c r="D298" s="90">
        <v>5</v>
      </c>
      <c r="E298" s="91">
        <v>5</v>
      </c>
      <c r="F298" s="156"/>
      <c r="G298" s="310"/>
      <c r="H298" s="310"/>
      <c r="I298" s="310"/>
      <c r="J298" s="310"/>
      <c r="K298" s="310"/>
      <c r="L298" s="310"/>
      <c r="M298" s="310"/>
      <c r="N298" s="310"/>
      <c r="O298" s="310"/>
      <c r="P298" s="310"/>
      <c r="Q298" s="310"/>
      <c r="R298" s="311"/>
      <c r="S298" s="310"/>
      <c r="T298" s="310"/>
      <c r="U298" s="51">
        <v>47.5</v>
      </c>
      <c r="V298" s="60">
        <f aca="true" t="shared" si="23" ref="V298:V310">D298*U298/1000</f>
        <v>0.2375</v>
      </c>
    </row>
    <row r="299" spans="1:22" s="12" customFormat="1" ht="15.75">
      <c r="A299" s="75"/>
      <c r="B299" s="143" t="s">
        <v>129</v>
      </c>
      <c r="C299" s="89"/>
      <c r="D299" s="90">
        <v>100</v>
      </c>
      <c r="E299" s="91">
        <v>75</v>
      </c>
      <c r="F299" s="156"/>
      <c r="G299" s="310"/>
      <c r="H299" s="310"/>
      <c r="I299" s="310"/>
      <c r="J299" s="310"/>
      <c r="K299" s="310"/>
      <c r="L299" s="310"/>
      <c r="M299" s="310"/>
      <c r="N299" s="310"/>
      <c r="O299" s="310"/>
      <c r="P299" s="310"/>
      <c r="Q299" s="310"/>
      <c r="R299" s="311"/>
      <c r="S299" s="310"/>
      <c r="T299" s="310"/>
      <c r="U299" s="51">
        <v>50.25</v>
      </c>
      <c r="V299" s="60">
        <f t="shared" si="23"/>
        <v>5.025</v>
      </c>
    </row>
    <row r="300" spans="1:22" s="12" customFormat="1" ht="15.75">
      <c r="A300" s="75"/>
      <c r="B300" s="143" t="s">
        <v>130</v>
      </c>
      <c r="C300" s="89"/>
      <c r="D300" s="90">
        <v>107</v>
      </c>
      <c r="E300" s="91">
        <v>75</v>
      </c>
      <c r="F300" s="156"/>
      <c r="G300" s="310"/>
      <c r="H300" s="310"/>
      <c r="I300" s="310"/>
      <c r="J300" s="310"/>
      <c r="K300" s="310"/>
      <c r="L300" s="310"/>
      <c r="M300" s="310"/>
      <c r="N300" s="310"/>
      <c r="O300" s="310"/>
      <c r="P300" s="310"/>
      <c r="Q300" s="310"/>
      <c r="R300" s="311"/>
      <c r="S300" s="310"/>
      <c r="T300" s="310"/>
      <c r="U300" s="51"/>
      <c r="V300" s="60">
        <f t="shared" si="23"/>
        <v>0</v>
      </c>
    </row>
    <row r="301" spans="1:22" s="12" customFormat="1" ht="15.75">
      <c r="A301" s="75"/>
      <c r="B301" s="143" t="s">
        <v>131</v>
      </c>
      <c r="C301" s="89"/>
      <c r="D301" s="90">
        <v>116</v>
      </c>
      <c r="E301" s="91">
        <v>75</v>
      </c>
      <c r="F301" s="156"/>
      <c r="G301" s="310"/>
      <c r="H301" s="310"/>
      <c r="I301" s="310"/>
      <c r="J301" s="310"/>
      <c r="K301" s="310"/>
      <c r="L301" s="310"/>
      <c r="M301" s="310"/>
      <c r="N301" s="310"/>
      <c r="O301" s="310"/>
      <c r="P301" s="310"/>
      <c r="Q301" s="310"/>
      <c r="R301" s="311"/>
      <c r="S301" s="310"/>
      <c r="T301" s="310"/>
      <c r="U301" s="51"/>
      <c r="V301" s="60">
        <f t="shared" si="23"/>
        <v>0</v>
      </c>
    </row>
    <row r="302" spans="1:22" s="12" customFormat="1" ht="15.75">
      <c r="A302" s="75"/>
      <c r="B302" s="143" t="s">
        <v>132</v>
      </c>
      <c r="C302" s="89"/>
      <c r="D302" s="90">
        <v>125</v>
      </c>
      <c r="E302" s="91">
        <v>75</v>
      </c>
      <c r="F302" s="156"/>
      <c r="G302" s="310"/>
      <c r="H302" s="310"/>
      <c r="I302" s="310"/>
      <c r="J302" s="310"/>
      <c r="K302" s="310"/>
      <c r="L302" s="310"/>
      <c r="M302" s="310"/>
      <c r="N302" s="310"/>
      <c r="O302" s="310"/>
      <c r="P302" s="310"/>
      <c r="Q302" s="310"/>
      <c r="R302" s="311"/>
      <c r="S302" s="310"/>
      <c r="T302" s="310"/>
      <c r="U302" s="51"/>
      <c r="V302" s="60">
        <f t="shared" si="23"/>
        <v>0</v>
      </c>
    </row>
    <row r="303" spans="1:22" s="12" customFormat="1" ht="15.75">
      <c r="A303" s="75"/>
      <c r="B303" s="143" t="s">
        <v>133</v>
      </c>
      <c r="C303" s="89"/>
      <c r="D303" s="90">
        <v>12.5</v>
      </c>
      <c r="E303" s="91">
        <v>10</v>
      </c>
      <c r="F303" s="156"/>
      <c r="G303" s="310"/>
      <c r="H303" s="310"/>
      <c r="I303" s="310"/>
      <c r="J303" s="310"/>
      <c r="K303" s="310"/>
      <c r="L303" s="310"/>
      <c r="M303" s="310"/>
      <c r="N303" s="310"/>
      <c r="O303" s="310"/>
      <c r="P303" s="310"/>
      <c r="Q303" s="310"/>
      <c r="R303" s="311"/>
      <c r="S303" s="310"/>
      <c r="T303" s="310"/>
      <c r="U303" s="51">
        <v>81.72</v>
      </c>
      <c r="V303" s="60">
        <f t="shared" si="23"/>
        <v>1.0215</v>
      </c>
    </row>
    <row r="304" spans="1:22" s="12" customFormat="1" ht="15.75">
      <c r="A304" s="75"/>
      <c r="B304" s="143" t="s">
        <v>104</v>
      </c>
      <c r="C304" s="89"/>
      <c r="D304" s="90">
        <v>13</v>
      </c>
      <c r="E304" s="91">
        <v>10</v>
      </c>
      <c r="F304" s="156"/>
      <c r="G304" s="310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  <c r="R304" s="311"/>
      <c r="S304" s="310"/>
      <c r="T304" s="310"/>
      <c r="U304" s="51"/>
      <c r="V304" s="60">
        <f t="shared" si="23"/>
        <v>0</v>
      </c>
    </row>
    <row r="305" spans="1:22" s="12" customFormat="1" ht="15.75">
      <c r="A305" s="75"/>
      <c r="B305" s="143" t="s">
        <v>55</v>
      </c>
      <c r="C305" s="89"/>
      <c r="D305" s="90">
        <v>12</v>
      </c>
      <c r="E305" s="91">
        <v>10</v>
      </c>
      <c r="F305" s="156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1"/>
      <c r="S305" s="310"/>
      <c r="T305" s="310"/>
      <c r="U305" s="51">
        <v>32.75</v>
      </c>
      <c r="V305" s="60">
        <f t="shared" si="23"/>
        <v>0.393</v>
      </c>
    </row>
    <row r="306" spans="1:22" s="12" customFormat="1" ht="15.75">
      <c r="A306" s="75"/>
      <c r="B306" s="143" t="s">
        <v>134</v>
      </c>
      <c r="C306" s="89"/>
      <c r="D306" s="90">
        <v>27</v>
      </c>
      <c r="E306" s="91">
        <v>15</v>
      </c>
      <c r="F306" s="156"/>
      <c r="G306" s="310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  <c r="R306" s="311"/>
      <c r="S306" s="310"/>
      <c r="T306" s="310"/>
      <c r="U306" s="51">
        <v>162.38</v>
      </c>
      <c r="V306" s="60">
        <f t="shared" si="23"/>
        <v>4.38426</v>
      </c>
    </row>
    <row r="307" spans="1:22" s="12" customFormat="1" ht="15.75">
      <c r="A307" s="75"/>
      <c r="B307" s="143" t="s">
        <v>57</v>
      </c>
      <c r="C307" s="89"/>
      <c r="D307" s="90">
        <v>5</v>
      </c>
      <c r="E307" s="91">
        <v>5</v>
      </c>
      <c r="F307" s="156"/>
      <c r="G307" s="310"/>
      <c r="H307" s="310"/>
      <c r="I307" s="310"/>
      <c r="J307" s="310"/>
      <c r="K307" s="310"/>
      <c r="L307" s="310"/>
      <c r="M307" s="310"/>
      <c r="N307" s="310"/>
      <c r="O307" s="310"/>
      <c r="P307" s="310"/>
      <c r="Q307" s="310"/>
      <c r="R307" s="311"/>
      <c r="S307" s="310"/>
      <c r="T307" s="310"/>
      <c r="U307" s="51">
        <v>125.7</v>
      </c>
      <c r="V307" s="60">
        <f t="shared" si="23"/>
        <v>0.6285</v>
      </c>
    </row>
    <row r="308" spans="1:22" s="12" customFormat="1" ht="15.75">
      <c r="A308" s="75"/>
      <c r="B308" s="143" t="s">
        <v>90</v>
      </c>
      <c r="C308" s="89"/>
      <c r="D308" s="90">
        <v>5</v>
      </c>
      <c r="E308" s="91">
        <v>5</v>
      </c>
      <c r="F308" s="156"/>
      <c r="G308" s="310"/>
      <c r="H308" s="310"/>
      <c r="I308" s="310"/>
      <c r="J308" s="310"/>
      <c r="K308" s="310"/>
      <c r="L308" s="310"/>
      <c r="M308" s="310"/>
      <c r="N308" s="310"/>
      <c r="O308" s="310"/>
      <c r="P308" s="310"/>
      <c r="Q308" s="310"/>
      <c r="R308" s="311"/>
      <c r="S308" s="310"/>
      <c r="T308" s="310"/>
      <c r="U308" s="51">
        <v>237.77</v>
      </c>
      <c r="V308" s="60">
        <f t="shared" si="23"/>
        <v>1.1888500000000002</v>
      </c>
    </row>
    <row r="309" spans="1:22" s="12" customFormat="1" ht="15.75">
      <c r="A309" s="75"/>
      <c r="B309" s="143" t="s">
        <v>135</v>
      </c>
      <c r="C309" s="89"/>
      <c r="D309" s="90">
        <v>190</v>
      </c>
      <c r="E309" s="91">
        <v>190</v>
      </c>
      <c r="F309" s="156"/>
      <c r="G309" s="310"/>
      <c r="H309" s="310"/>
      <c r="I309" s="310"/>
      <c r="J309" s="310"/>
      <c r="K309" s="310"/>
      <c r="L309" s="310"/>
      <c r="M309" s="310"/>
      <c r="N309" s="310"/>
      <c r="O309" s="310"/>
      <c r="P309" s="310"/>
      <c r="Q309" s="310"/>
      <c r="R309" s="311"/>
      <c r="S309" s="310"/>
      <c r="T309" s="310"/>
      <c r="U309" s="51"/>
      <c r="V309" s="60">
        <f t="shared" si="23"/>
        <v>0</v>
      </c>
    </row>
    <row r="310" spans="1:22" s="12" customFormat="1" ht="15.75">
      <c r="A310" s="75"/>
      <c r="B310" s="143" t="s">
        <v>97</v>
      </c>
      <c r="C310" s="89"/>
      <c r="D310" s="90">
        <v>0.7</v>
      </c>
      <c r="E310" s="91">
        <v>0.7</v>
      </c>
      <c r="F310" s="92"/>
      <c r="G310" s="92"/>
      <c r="H310" s="92"/>
      <c r="I310" s="92"/>
      <c r="J310" s="92"/>
      <c r="K310" s="310"/>
      <c r="L310" s="310"/>
      <c r="M310" s="310"/>
      <c r="N310" s="310"/>
      <c r="O310" s="310"/>
      <c r="P310" s="310"/>
      <c r="Q310" s="310"/>
      <c r="R310" s="311"/>
      <c r="S310" s="310"/>
      <c r="T310" s="310"/>
      <c r="U310" s="420">
        <v>11.9</v>
      </c>
      <c r="V310" s="60">
        <f t="shared" si="23"/>
        <v>0.00833</v>
      </c>
    </row>
    <row r="311" spans="1:22" s="12" customFormat="1" ht="15.75">
      <c r="A311" s="26"/>
      <c r="B311" s="356" t="s">
        <v>23</v>
      </c>
      <c r="C311" s="33">
        <v>230</v>
      </c>
      <c r="D311" s="33"/>
      <c r="E311" s="33"/>
      <c r="F311" s="34">
        <v>18.05</v>
      </c>
      <c r="G311" s="34">
        <v>18.98</v>
      </c>
      <c r="H311" s="38">
        <v>36.7</v>
      </c>
      <c r="I311" s="33">
        <v>345</v>
      </c>
      <c r="J311" s="33">
        <v>3.7</v>
      </c>
      <c r="K311" s="92"/>
      <c r="L311" s="92"/>
      <c r="M311" s="92"/>
      <c r="N311" s="92"/>
      <c r="O311" s="92"/>
      <c r="P311" s="92"/>
      <c r="Q311" s="92"/>
      <c r="R311" s="106"/>
      <c r="S311" s="92"/>
      <c r="T311" s="92"/>
      <c r="U311" s="34"/>
      <c r="V311" s="34">
        <f>SUM(V312:V318)</f>
        <v>35.23008999999999</v>
      </c>
    </row>
    <row r="312" spans="1:206" s="26" customFormat="1" ht="15.75">
      <c r="A312" s="45"/>
      <c r="B312" s="142" t="s">
        <v>123</v>
      </c>
      <c r="C312" s="33"/>
      <c r="D312" s="35">
        <v>73</v>
      </c>
      <c r="E312" s="35">
        <v>72</v>
      </c>
      <c r="F312" s="36"/>
      <c r="G312" s="36"/>
      <c r="H312" s="36"/>
      <c r="I312" s="36"/>
      <c r="J312" s="36"/>
      <c r="K312" s="33"/>
      <c r="L312" s="33"/>
      <c r="M312" s="30">
        <v>3.1</v>
      </c>
      <c r="N312" s="33">
        <v>0.15</v>
      </c>
      <c r="O312" s="44">
        <v>16.6</v>
      </c>
      <c r="P312" s="33">
        <v>0.6</v>
      </c>
      <c r="Q312" s="30">
        <v>151</v>
      </c>
      <c r="R312" s="33">
        <v>199</v>
      </c>
      <c r="S312" s="38">
        <v>38.9</v>
      </c>
      <c r="T312" s="33">
        <v>1.4</v>
      </c>
      <c r="U312" s="60">
        <v>344.5</v>
      </c>
      <c r="V312" s="60">
        <f>D312*U312/1000</f>
        <v>25.1485</v>
      </c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</row>
    <row r="313" spans="2:206" s="45" customFormat="1" ht="15.75">
      <c r="B313" s="182" t="s">
        <v>95</v>
      </c>
      <c r="C313" s="33"/>
      <c r="D313" s="35">
        <v>52</v>
      </c>
      <c r="E313" s="35">
        <v>52</v>
      </c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60">
        <v>77.51</v>
      </c>
      <c r="V313" s="60">
        <f aca="true" t="shared" si="24" ref="V313:V318">D313*U313/1000</f>
        <v>4.03052</v>
      </c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</row>
    <row r="314" spans="2:206" s="45" customFormat="1" ht="15.75">
      <c r="B314" s="182" t="s">
        <v>60</v>
      </c>
      <c r="C314" s="33"/>
      <c r="D314" s="35">
        <v>56</v>
      </c>
      <c r="E314" s="35">
        <v>45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60">
        <v>81.72</v>
      </c>
      <c r="V314" s="60">
        <f t="shared" si="24"/>
        <v>4.57632</v>
      </c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</row>
    <row r="315" spans="2:206" s="45" customFormat="1" ht="15.75">
      <c r="B315" s="182" t="s">
        <v>96</v>
      </c>
      <c r="C315" s="33"/>
      <c r="D315" s="35">
        <v>60</v>
      </c>
      <c r="E315" s="35">
        <v>45</v>
      </c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60"/>
      <c r="V315" s="60">
        <f t="shared" si="24"/>
        <v>0</v>
      </c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</row>
    <row r="316" spans="2:206" s="45" customFormat="1" ht="15.75">
      <c r="B316" s="182" t="s">
        <v>55</v>
      </c>
      <c r="C316" s="33"/>
      <c r="D316" s="35">
        <v>17.8</v>
      </c>
      <c r="E316" s="35">
        <v>15</v>
      </c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60">
        <v>32.75</v>
      </c>
      <c r="V316" s="60">
        <f t="shared" si="24"/>
        <v>0.5829500000000001</v>
      </c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</row>
    <row r="317" spans="2:206" s="45" customFormat="1" ht="15.75">
      <c r="B317" s="182" t="s">
        <v>57</v>
      </c>
      <c r="C317" s="33"/>
      <c r="D317" s="35">
        <v>7</v>
      </c>
      <c r="E317" s="35">
        <v>7</v>
      </c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60">
        <v>125.7</v>
      </c>
      <c r="V317" s="60">
        <f t="shared" si="24"/>
        <v>0.8799</v>
      </c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</row>
    <row r="318" spans="2:206" s="45" customFormat="1" ht="15.75">
      <c r="B318" s="182" t="s">
        <v>14</v>
      </c>
      <c r="C318" s="33"/>
      <c r="D318" s="35">
        <v>1</v>
      </c>
      <c r="E318" s="35">
        <v>1</v>
      </c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60">
        <v>11.9</v>
      </c>
      <c r="V318" s="60">
        <f t="shared" si="24"/>
        <v>0.0119</v>
      </c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</row>
    <row r="319" spans="2:22" s="43" customFormat="1" ht="15.75">
      <c r="B319" s="123" t="s">
        <v>119</v>
      </c>
      <c r="C319" s="40" t="s">
        <v>41</v>
      </c>
      <c r="D319" s="40"/>
      <c r="E319" s="40"/>
      <c r="F319" s="40">
        <v>0.01</v>
      </c>
      <c r="G319" s="41">
        <v>0</v>
      </c>
      <c r="H319" s="41">
        <v>1</v>
      </c>
      <c r="I319" s="40">
        <v>45</v>
      </c>
      <c r="J319" s="40">
        <v>0.1</v>
      </c>
      <c r="K319" s="40"/>
      <c r="L319" s="40"/>
      <c r="M319" s="74">
        <v>16</v>
      </c>
      <c r="N319" s="40">
        <v>0.02</v>
      </c>
      <c r="O319" s="87">
        <v>0</v>
      </c>
      <c r="P319" s="40">
        <v>0.17</v>
      </c>
      <c r="Q319" s="74">
        <v>2.97</v>
      </c>
      <c r="R319" s="74">
        <v>9.6</v>
      </c>
      <c r="S319" s="41">
        <v>2.08</v>
      </c>
      <c r="T319" s="40">
        <v>0.16</v>
      </c>
      <c r="U319" s="34"/>
      <c r="V319" s="34">
        <f>SUM(V320:V321)</f>
        <v>2.38809</v>
      </c>
    </row>
    <row r="320" spans="1:22" s="43" customFormat="1" ht="15.75">
      <c r="A320" s="6"/>
      <c r="B320" s="151" t="s">
        <v>93</v>
      </c>
      <c r="C320" s="40"/>
      <c r="D320" s="69">
        <v>1</v>
      </c>
      <c r="E320" s="69">
        <v>1</v>
      </c>
      <c r="F320" s="71"/>
      <c r="G320" s="71"/>
      <c r="H320" s="71"/>
      <c r="I320" s="71"/>
      <c r="J320" s="71"/>
      <c r="K320" s="40"/>
      <c r="L320" s="37"/>
      <c r="M320" s="42">
        <v>1.1</v>
      </c>
      <c r="N320" s="74">
        <v>0</v>
      </c>
      <c r="O320" s="107">
        <v>0.1</v>
      </c>
      <c r="P320" s="41">
        <v>0</v>
      </c>
      <c r="Q320" s="97">
        <v>2.8</v>
      </c>
      <c r="R320" s="74">
        <v>1.8</v>
      </c>
      <c r="S320" s="40">
        <v>0.76</v>
      </c>
      <c r="T320" s="40">
        <v>0.07</v>
      </c>
      <c r="U320" s="60">
        <v>540.09</v>
      </c>
      <c r="V320" s="60">
        <f>D320*U320/1000</f>
        <v>0.5400900000000001</v>
      </c>
    </row>
    <row r="321" spans="2:22" s="6" customFormat="1" ht="15.75">
      <c r="B321" s="151" t="s">
        <v>94</v>
      </c>
      <c r="C321" s="40"/>
      <c r="D321" s="69">
        <v>12</v>
      </c>
      <c r="E321" s="69">
        <v>10</v>
      </c>
      <c r="F321" s="71"/>
      <c r="G321" s="71"/>
      <c r="H321" s="71"/>
      <c r="I321" s="71"/>
      <c r="J321" s="71"/>
      <c r="K321" s="71"/>
      <c r="L321" s="36"/>
      <c r="M321" s="189"/>
      <c r="N321" s="71"/>
      <c r="O321" s="190"/>
      <c r="P321" s="71"/>
      <c r="Q321" s="191"/>
      <c r="R321" s="153"/>
      <c r="S321" s="71"/>
      <c r="T321" s="71"/>
      <c r="U321" s="60">
        <v>154</v>
      </c>
      <c r="V321" s="60">
        <f>D321*U321/1000</f>
        <v>1.848</v>
      </c>
    </row>
    <row r="322" spans="1:22" s="6" customFormat="1" ht="15.75">
      <c r="A322" s="70"/>
      <c r="B322" s="123" t="s">
        <v>53</v>
      </c>
      <c r="C322" s="40">
        <v>40</v>
      </c>
      <c r="D322" s="69"/>
      <c r="E322" s="69"/>
      <c r="F322" s="40">
        <v>2.8</v>
      </c>
      <c r="G322" s="40">
        <v>0.48</v>
      </c>
      <c r="H322" s="40">
        <v>15.6</v>
      </c>
      <c r="I322" s="87">
        <v>80</v>
      </c>
      <c r="J322" s="74">
        <v>1.5</v>
      </c>
      <c r="K322" s="71"/>
      <c r="L322" s="36"/>
      <c r="M322" s="71"/>
      <c r="N322" s="71"/>
      <c r="O322" s="152"/>
      <c r="P322" s="71"/>
      <c r="Q322" s="153"/>
      <c r="R322" s="153"/>
      <c r="S322" s="71"/>
      <c r="T322" s="71"/>
      <c r="U322" s="60">
        <v>50.08</v>
      </c>
      <c r="V322" s="34">
        <f>C322*U322/1000</f>
        <v>2.0031999999999996</v>
      </c>
    </row>
    <row r="323" spans="1:22" s="70" customFormat="1" ht="31.5">
      <c r="A323" s="276" t="s">
        <v>198</v>
      </c>
      <c r="B323" s="317"/>
      <c r="C323" s="277">
        <v>795</v>
      </c>
      <c r="D323" s="277"/>
      <c r="E323" s="278"/>
      <c r="F323" s="413">
        <f aca="true" t="shared" si="25" ref="F323:U323">F294+F296+F311+F319+F322</f>
        <v>43.98</v>
      </c>
      <c r="G323" s="413">
        <f t="shared" si="25"/>
        <v>43.199999999999996</v>
      </c>
      <c r="H323" s="413">
        <f t="shared" si="25"/>
        <v>132.98000000000002</v>
      </c>
      <c r="I323" s="413">
        <f t="shared" si="25"/>
        <v>706</v>
      </c>
      <c r="J323" s="413">
        <f t="shared" si="25"/>
        <v>6.16</v>
      </c>
      <c r="K323" s="413" t="e">
        <f t="shared" si="25"/>
        <v>#REF!</v>
      </c>
      <c r="L323" s="413" t="e">
        <f t="shared" si="25"/>
        <v>#REF!</v>
      </c>
      <c r="M323" s="413">
        <f t="shared" si="25"/>
        <v>16</v>
      </c>
      <c r="N323" s="413">
        <f t="shared" si="25"/>
        <v>0.02</v>
      </c>
      <c r="O323" s="413">
        <f t="shared" si="25"/>
        <v>0</v>
      </c>
      <c r="P323" s="413">
        <f t="shared" si="25"/>
        <v>0.17</v>
      </c>
      <c r="Q323" s="413">
        <f t="shared" si="25"/>
        <v>2.97</v>
      </c>
      <c r="R323" s="413">
        <f t="shared" si="25"/>
        <v>9.6</v>
      </c>
      <c r="S323" s="413">
        <f t="shared" si="25"/>
        <v>2.08</v>
      </c>
      <c r="T323" s="413">
        <f t="shared" si="25"/>
        <v>0.16</v>
      </c>
      <c r="U323" s="413">
        <f t="shared" si="25"/>
        <v>50.08</v>
      </c>
      <c r="V323" s="413">
        <f>V294+V296+V311+V319+V322</f>
        <v>70.42777999999998</v>
      </c>
    </row>
    <row r="324" spans="1:22" s="7" customFormat="1" ht="31.5">
      <c r="A324" s="280" t="s">
        <v>199</v>
      </c>
      <c r="B324" s="318"/>
      <c r="C324" s="281" t="s">
        <v>200</v>
      </c>
      <c r="D324" s="282"/>
      <c r="E324" s="282"/>
      <c r="F324" s="414">
        <f aca="true" t="shared" si="26" ref="F324:U324">F292+F323</f>
        <v>71.19</v>
      </c>
      <c r="G324" s="414">
        <f t="shared" si="26"/>
        <v>70.47999999999999</v>
      </c>
      <c r="H324" s="414">
        <f t="shared" si="26"/>
        <v>168.48000000000002</v>
      </c>
      <c r="I324" s="414">
        <f t="shared" si="26"/>
        <v>1308</v>
      </c>
      <c r="J324" s="414">
        <f t="shared" si="26"/>
        <v>8.86</v>
      </c>
      <c r="K324" s="414" t="e">
        <f t="shared" si="26"/>
        <v>#REF!</v>
      </c>
      <c r="L324" s="414" t="e">
        <f t="shared" si="26"/>
        <v>#REF!</v>
      </c>
      <c r="M324" s="414">
        <f t="shared" si="26"/>
        <v>16</v>
      </c>
      <c r="N324" s="414">
        <f t="shared" si="26"/>
        <v>0.06</v>
      </c>
      <c r="O324" s="414">
        <f t="shared" si="26"/>
        <v>0</v>
      </c>
      <c r="P324" s="414">
        <f t="shared" si="26"/>
        <v>0.45000000000000007</v>
      </c>
      <c r="Q324" s="414">
        <f t="shared" si="26"/>
        <v>8.77</v>
      </c>
      <c r="R324" s="414">
        <f t="shared" si="26"/>
        <v>39.6</v>
      </c>
      <c r="S324" s="414">
        <f t="shared" si="26"/>
        <v>11.48</v>
      </c>
      <c r="T324" s="414">
        <f t="shared" si="26"/>
        <v>0.9400000000000001</v>
      </c>
      <c r="U324" s="414">
        <f t="shared" si="26"/>
        <v>50.08</v>
      </c>
      <c r="V324" s="414">
        <f>V292+V323</f>
        <v>161.15882999999997</v>
      </c>
    </row>
    <row r="325" spans="1:22" s="10" customFormat="1" ht="15.75">
      <c r="A325" s="258" t="s">
        <v>212</v>
      </c>
      <c r="B325" s="259"/>
      <c r="C325" s="260"/>
      <c r="D325" s="261"/>
      <c r="E325" s="258"/>
      <c r="F325" s="262"/>
      <c r="G325" s="263"/>
      <c r="H325" s="263"/>
      <c r="I325" s="263"/>
      <c r="J325" s="263"/>
      <c r="K325" s="283" t="e">
        <f>SUM(K293+K324)</f>
        <v>#REF!</v>
      </c>
      <c r="L325" s="283" t="e">
        <f>SUM(L293+L324)</f>
        <v>#REF!</v>
      </c>
      <c r="M325" s="283" t="e">
        <f>SUM(M293+M324)</f>
        <v>#REF!</v>
      </c>
      <c r="N325" s="283" t="e">
        <f>SUM(N293+N324)</f>
        <v>#REF!</v>
      </c>
      <c r="O325" s="284" t="e">
        <f>SUM(O293+O324)</f>
        <v>#REF!</v>
      </c>
      <c r="P325" s="283" t="e">
        <f>SUM(P293+P324)</f>
        <v>#REF!</v>
      </c>
      <c r="Q325" s="283" t="e">
        <f>SUM(Q293+Q324)</f>
        <v>#REF!</v>
      </c>
      <c r="R325" s="284" t="e">
        <f>SUM(R293+R324)</f>
        <v>#REF!</v>
      </c>
      <c r="S325" s="284" t="e">
        <f>SUM(S293+S324)</f>
        <v>#REF!</v>
      </c>
      <c r="T325" s="283">
        <f>SUM(T292+T324)</f>
        <v>1.7200000000000002</v>
      </c>
      <c r="U325" s="28"/>
      <c r="V325" s="28"/>
    </row>
    <row r="326" spans="1:22" s="6" customFormat="1" ht="15.75">
      <c r="A326" s="264" t="s">
        <v>52</v>
      </c>
      <c r="B326" s="308"/>
      <c r="C326" s="264"/>
      <c r="D326" s="265"/>
      <c r="E326" s="266"/>
      <c r="F326" s="267"/>
      <c r="G326" s="267"/>
      <c r="H326" s="267"/>
      <c r="I326" s="267"/>
      <c r="J326" s="267"/>
      <c r="K326" s="302"/>
      <c r="L326" s="303"/>
      <c r="M326" s="306"/>
      <c r="N326" s="306"/>
      <c r="O326" s="306"/>
      <c r="P326" s="306"/>
      <c r="Q326" s="306"/>
      <c r="R326" s="306"/>
      <c r="S326" s="306"/>
      <c r="T326" s="307"/>
      <c r="U326" s="28"/>
      <c r="V326" s="28"/>
    </row>
    <row r="327" spans="2:22" s="10" customFormat="1" ht="15.75">
      <c r="B327" s="200" t="s">
        <v>46</v>
      </c>
      <c r="C327" s="52" t="s">
        <v>47</v>
      </c>
      <c r="D327" s="15"/>
      <c r="E327" s="48"/>
      <c r="F327" s="18">
        <v>7.3</v>
      </c>
      <c r="G327" s="53">
        <v>5.6</v>
      </c>
      <c r="H327" s="53">
        <v>13.4</v>
      </c>
      <c r="I327" s="103">
        <v>164</v>
      </c>
      <c r="J327" s="103">
        <v>1.3</v>
      </c>
      <c r="K327" s="309"/>
      <c r="L327" s="309" t="e">
        <f>SUM(#REF!+#REF!+#REF!+#REF!+#REF!+#REF!)</f>
        <v>#REF!</v>
      </c>
      <c r="M327" s="309"/>
      <c r="N327" s="309"/>
      <c r="O327" s="309"/>
      <c r="P327" s="309"/>
      <c r="Q327" s="309"/>
      <c r="R327" s="309"/>
      <c r="S327" s="309"/>
      <c r="T327" s="309"/>
      <c r="U327" s="351"/>
      <c r="V327" s="34">
        <f>SUM(V328:V329)</f>
        <v>16.9024</v>
      </c>
    </row>
    <row r="328" spans="1:22" s="10" customFormat="1" ht="15.75">
      <c r="A328" s="12"/>
      <c r="B328" s="137" t="s">
        <v>237</v>
      </c>
      <c r="C328" s="49"/>
      <c r="D328" s="46">
        <v>30</v>
      </c>
      <c r="E328" s="50">
        <v>30</v>
      </c>
      <c r="F328" s="23"/>
      <c r="G328" s="51"/>
      <c r="H328" s="51"/>
      <c r="I328" s="51"/>
      <c r="J328" s="51"/>
      <c r="K328" s="53"/>
      <c r="L328" s="53"/>
      <c r="M328" s="53">
        <v>0.1</v>
      </c>
      <c r="N328" s="53">
        <v>0.04</v>
      </c>
      <c r="O328" s="53">
        <v>20</v>
      </c>
      <c r="P328" s="53">
        <v>0.39</v>
      </c>
      <c r="Q328" s="53">
        <v>10</v>
      </c>
      <c r="R328" s="117">
        <v>22.8</v>
      </c>
      <c r="S328" s="53">
        <v>5.6</v>
      </c>
      <c r="T328" s="53">
        <v>20</v>
      </c>
      <c r="U328" s="410">
        <v>50.08</v>
      </c>
      <c r="V328" s="60">
        <f>D328*U328/1000</f>
        <v>1.5024</v>
      </c>
    </row>
    <row r="329" spans="2:22" s="12" customFormat="1" ht="15.75">
      <c r="B329" s="136" t="s">
        <v>45</v>
      </c>
      <c r="C329" s="49"/>
      <c r="D329" s="46">
        <v>22</v>
      </c>
      <c r="E329" s="50">
        <v>20</v>
      </c>
      <c r="F329" s="23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410">
        <v>700</v>
      </c>
      <c r="V329" s="60">
        <f>D329*U329/1000</f>
        <v>15.4</v>
      </c>
    </row>
    <row r="330" spans="1:22" s="12" customFormat="1" ht="15.75">
      <c r="A330" s="26"/>
      <c r="B330" s="147" t="s">
        <v>241</v>
      </c>
      <c r="C330" s="33">
        <v>180</v>
      </c>
      <c r="D330" s="33"/>
      <c r="E330" s="33"/>
      <c r="F330" s="33">
        <v>9.8</v>
      </c>
      <c r="G330" s="33">
        <v>9.2</v>
      </c>
      <c r="H330" s="33">
        <v>4.6</v>
      </c>
      <c r="I330" s="33">
        <v>194</v>
      </c>
      <c r="J330" s="33">
        <v>0.5</v>
      </c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34"/>
      <c r="V330" s="34">
        <f>SUM(V331:V337)</f>
        <v>62.538884</v>
      </c>
    </row>
    <row r="331" spans="1:22" s="26" customFormat="1" ht="15.75">
      <c r="A331" s="45"/>
      <c r="B331" s="126" t="s">
        <v>88</v>
      </c>
      <c r="C331" s="24"/>
      <c r="D331" s="32">
        <v>169</v>
      </c>
      <c r="E331" s="32">
        <v>166</v>
      </c>
      <c r="F331" s="24"/>
      <c r="G331" s="24"/>
      <c r="H331" s="24"/>
      <c r="I331" s="24"/>
      <c r="J331" s="24"/>
      <c r="K331" s="33"/>
      <c r="L331" s="34"/>
      <c r="M331" s="33">
        <v>0.6</v>
      </c>
      <c r="N331" s="33">
        <v>1</v>
      </c>
      <c r="O331" s="33">
        <v>138</v>
      </c>
      <c r="P331" s="33">
        <v>1</v>
      </c>
      <c r="Q331" s="33">
        <v>442</v>
      </c>
      <c r="R331" s="79">
        <v>428</v>
      </c>
      <c r="S331" s="33">
        <v>49</v>
      </c>
      <c r="T331" s="33">
        <v>1.5</v>
      </c>
      <c r="U331" s="39">
        <v>311.82</v>
      </c>
      <c r="V331" s="60">
        <f>D331*U331/1000</f>
        <v>52.69758</v>
      </c>
    </row>
    <row r="332" spans="2:22" s="45" customFormat="1" ht="15.75">
      <c r="B332" s="126" t="s">
        <v>3</v>
      </c>
      <c r="C332" s="24"/>
      <c r="D332" s="32">
        <v>11</v>
      </c>
      <c r="E332" s="32">
        <v>11</v>
      </c>
      <c r="F332" s="24"/>
      <c r="G332" s="24"/>
      <c r="H332" s="24"/>
      <c r="I332" s="24"/>
      <c r="J332" s="24"/>
      <c r="K332" s="32"/>
      <c r="L332" s="39"/>
      <c r="M332" s="24"/>
      <c r="N332" s="24"/>
      <c r="O332" s="24"/>
      <c r="P332" s="24"/>
      <c r="Q332" s="24"/>
      <c r="R332" s="204"/>
      <c r="S332" s="24"/>
      <c r="T332" s="24"/>
      <c r="U332" s="39">
        <v>53.13</v>
      </c>
      <c r="V332" s="60">
        <f aca="true" t="shared" si="27" ref="V332:V337">D332*U332/1000</f>
        <v>0.5844300000000001</v>
      </c>
    </row>
    <row r="333" spans="2:22" s="45" customFormat="1" ht="15.75">
      <c r="B333" s="126" t="s">
        <v>89</v>
      </c>
      <c r="C333" s="24"/>
      <c r="D333" s="32">
        <v>7.2</v>
      </c>
      <c r="E333" s="32">
        <v>7.2</v>
      </c>
      <c r="F333" s="24"/>
      <c r="G333" s="24"/>
      <c r="H333" s="24"/>
      <c r="I333" s="24"/>
      <c r="J333" s="24"/>
      <c r="K333" s="32"/>
      <c r="L333" s="39"/>
      <c r="M333" s="24"/>
      <c r="N333" s="24"/>
      <c r="O333" s="24"/>
      <c r="P333" s="24"/>
      <c r="Q333" s="24"/>
      <c r="R333" s="204"/>
      <c r="S333" s="24"/>
      <c r="T333" s="24"/>
      <c r="U333" s="39">
        <v>248</v>
      </c>
      <c r="V333" s="60">
        <f t="shared" si="27"/>
        <v>1.7856</v>
      </c>
    </row>
    <row r="334" spans="2:22" s="45" customFormat="1" ht="15.75">
      <c r="B334" s="126" t="s">
        <v>90</v>
      </c>
      <c r="C334" s="24"/>
      <c r="D334" s="32">
        <v>7.2</v>
      </c>
      <c r="E334" s="32">
        <v>7.2</v>
      </c>
      <c r="F334" s="24"/>
      <c r="G334" s="24"/>
      <c r="H334" s="24"/>
      <c r="I334" s="24"/>
      <c r="J334" s="24"/>
      <c r="K334" s="32"/>
      <c r="L334" s="39"/>
      <c r="M334" s="24"/>
      <c r="N334" s="24"/>
      <c r="O334" s="24"/>
      <c r="P334" s="24"/>
      <c r="Q334" s="24"/>
      <c r="R334" s="204"/>
      <c r="S334" s="24"/>
      <c r="T334" s="24"/>
      <c r="U334" s="39">
        <v>237.77</v>
      </c>
      <c r="V334" s="60">
        <f t="shared" si="27"/>
        <v>1.7119440000000001</v>
      </c>
    </row>
    <row r="335" spans="2:22" s="45" customFormat="1" ht="15.75">
      <c r="B335" s="126" t="s">
        <v>1</v>
      </c>
      <c r="C335" s="24"/>
      <c r="D335" s="32">
        <v>7.2</v>
      </c>
      <c r="E335" s="32">
        <v>7.2</v>
      </c>
      <c r="F335" s="24"/>
      <c r="G335" s="24"/>
      <c r="H335" s="24"/>
      <c r="I335" s="24"/>
      <c r="J335" s="24"/>
      <c r="K335" s="32"/>
      <c r="L335" s="39"/>
      <c r="M335" s="24"/>
      <c r="N335" s="24"/>
      <c r="O335" s="24"/>
      <c r="P335" s="24"/>
      <c r="Q335" s="24"/>
      <c r="R335" s="204"/>
      <c r="S335" s="24"/>
      <c r="T335" s="24"/>
      <c r="U335" s="39">
        <v>147.5</v>
      </c>
      <c r="V335" s="60">
        <f t="shared" si="27"/>
        <v>1.062</v>
      </c>
    </row>
    <row r="336" spans="2:22" s="45" customFormat="1" ht="15.75">
      <c r="B336" s="126" t="s">
        <v>58</v>
      </c>
      <c r="C336" s="24"/>
      <c r="D336" s="32">
        <v>7</v>
      </c>
      <c r="E336" s="32">
        <v>7</v>
      </c>
      <c r="F336" s="24"/>
      <c r="G336" s="24"/>
      <c r="H336" s="24"/>
      <c r="I336" s="24"/>
      <c r="J336" s="24"/>
      <c r="K336" s="32"/>
      <c r="L336" s="39"/>
      <c r="M336" s="24"/>
      <c r="N336" s="24"/>
      <c r="O336" s="24"/>
      <c r="P336" s="24"/>
      <c r="Q336" s="24"/>
      <c r="R336" s="204"/>
      <c r="S336" s="24"/>
      <c r="T336" s="24"/>
      <c r="U336" s="39">
        <v>653.09</v>
      </c>
      <c r="V336" s="60">
        <f t="shared" si="27"/>
        <v>4.57163</v>
      </c>
    </row>
    <row r="337" spans="2:22" s="45" customFormat="1" ht="15.75">
      <c r="B337" s="135" t="s">
        <v>231</v>
      </c>
      <c r="C337" s="357"/>
      <c r="D337" s="32">
        <v>1</v>
      </c>
      <c r="E337" s="298">
        <v>1</v>
      </c>
      <c r="F337" s="24"/>
      <c r="G337" s="358"/>
      <c r="H337" s="358"/>
      <c r="I337" s="358"/>
      <c r="J337" s="358"/>
      <c r="K337" s="359"/>
      <c r="L337" s="360"/>
      <c r="M337" s="358"/>
      <c r="N337" s="358"/>
      <c r="O337" s="358"/>
      <c r="P337" s="358"/>
      <c r="Q337" s="358"/>
      <c r="R337" s="361"/>
      <c r="S337" s="358"/>
      <c r="T337" s="358"/>
      <c r="U337" s="360">
        <v>125.7</v>
      </c>
      <c r="V337" s="60">
        <f t="shared" si="27"/>
        <v>0.1257</v>
      </c>
    </row>
    <row r="338" spans="1:22" s="45" customFormat="1" ht="15.75">
      <c r="A338" s="11"/>
      <c r="B338" s="147" t="s">
        <v>50</v>
      </c>
      <c r="C338" s="33">
        <v>125</v>
      </c>
      <c r="D338" s="33"/>
      <c r="E338" s="33"/>
      <c r="F338" s="33">
        <v>6.2</v>
      </c>
      <c r="G338" s="34">
        <v>3.1</v>
      </c>
      <c r="H338" s="33">
        <v>9.2</v>
      </c>
      <c r="I338" s="33">
        <v>85</v>
      </c>
      <c r="J338" s="33">
        <v>0.9</v>
      </c>
      <c r="K338" s="358"/>
      <c r="L338" s="358"/>
      <c r="M338" s="358"/>
      <c r="N338" s="358"/>
      <c r="O338" s="358"/>
      <c r="P338" s="358"/>
      <c r="Q338" s="358"/>
      <c r="R338" s="361"/>
      <c r="S338" s="358"/>
      <c r="T338" s="358"/>
      <c r="U338" s="34"/>
      <c r="V338" s="34">
        <f>V339</f>
        <v>18</v>
      </c>
    </row>
    <row r="339" spans="1:22" s="11" customFormat="1" ht="15.75">
      <c r="A339" s="12"/>
      <c r="B339" s="137" t="s">
        <v>51</v>
      </c>
      <c r="C339" s="54"/>
      <c r="D339" s="46">
        <v>125</v>
      </c>
      <c r="E339" s="50">
        <v>125</v>
      </c>
      <c r="F339" s="23"/>
      <c r="G339" s="51"/>
      <c r="H339" s="51"/>
      <c r="I339" s="51"/>
      <c r="J339" s="51"/>
      <c r="K339" s="33"/>
      <c r="L339" s="34"/>
      <c r="M339" s="34">
        <v>0.9</v>
      </c>
      <c r="N339" s="33">
        <v>0.1</v>
      </c>
      <c r="O339" s="34">
        <v>27</v>
      </c>
      <c r="P339" s="33">
        <v>0</v>
      </c>
      <c r="Q339" s="79">
        <v>165</v>
      </c>
      <c r="R339" s="79">
        <v>130</v>
      </c>
      <c r="S339" s="34">
        <v>20.4</v>
      </c>
      <c r="T339" s="33">
        <v>0.1</v>
      </c>
      <c r="U339" s="51">
        <v>144</v>
      </c>
      <c r="V339" s="60">
        <f>D339*U339/1000</f>
        <v>18</v>
      </c>
    </row>
    <row r="340" spans="1:22" s="12" customFormat="1" ht="15.75">
      <c r="A340" s="43"/>
      <c r="B340" s="122" t="s">
        <v>120</v>
      </c>
      <c r="C340" s="40">
        <v>200</v>
      </c>
      <c r="D340" s="40"/>
      <c r="E340" s="40"/>
      <c r="F340" s="41">
        <v>3.1</v>
      </c>
      <c r="G340" s="41">
        <v>2.7</v>
      </c>
      <c r="H340" s="41">
        <v>6.9</v>
      </c>
      <c r="I340" s="40">
        <v>100</v>
      </c>
      <c r="J340" s="40">
        <v>0.7</v>
      </c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68"/>
      <c r="V340" s="34">
        <f>SUM(V341:V343)</f>
        <v>7.486</v>
      </c>
    </row>
    <row r="341" spans="1:22" s="43" customFormat="1" ht="15.75">
      <c r="A341" s="6"/>
      <c r="B341" s="63" t="s">
        <v>107</v>
      </c>
      <c r="C341" s="17"/>
      <c r="D341" s="20">
        <v>4</v>
      </c>
      <c r="E341" s="20">
        <v>4</v>
      </c>
      <c r="F341" s="21"/>
      <c r="G341" s="21"/>
      <c r="H341" s="21"/>
      <c r="I341" s="21"/>
      <c r="J341" s="21"/>
      <c r="K341" s="40"/>
      <c r="L341" s="68"/>
      <c r="M341" s="42">
        <v>1.3</v>
      </c>
      <c r="N341" s="40">
        <v>0.04</v>
      </c>
      <c r="O341" s="87">
        <v>20</v>
      </c>
      <c r="P341" s="40">
        <v>0.05</v>
      </c>
      <c r="Q341" s="74">
        <v>125.78</v>
      </c>
      <c r="R341" s="87">
        <v>90</v>
      </c>
      <c r="S341" s="40">
        <v>14</v>
      </c>
      <c r="T341" s="41">
        <v>0.13</v>
      </c>
      <c r="U341" s="51">
        <v>492</v>
      </c>
      <c r="V341" s="60">
        <f>D341*U341/1000</f>
        <v>1.968</v>
      </c>
    </row>
    <row r="342" spans="2:22" s="6" customFormat="1" ht="15.75">
      <c r="B342" s="63" t="s">
        <v>86</v>
      </c>
      <c r="C342" s="17"/>
      <c r="D342" s="20">
        <v>100</v>
      </c>
      <c r="E342" s="20">
        <v>100</v>
      </c>
      <c r="F342" s="21"/>
      <c r="G342" s="21"/>
      <c r="H342" s="21"/>
      <c r="I342" s="21"/>
      <c r="J342" s="21"/>
      <c r="K342" s="21"/>
      <c r="L342" s="51"/>
      <c r="M342" s="21"/>
      <c r="N342" s="21"/>
      <c r="O342" s="112"/>
      <c r="P342" s="21"/>
      <c r="Q342" s="99"/>
      <c r="R342" s="202"/>
      <c r="S342" s="21"/>
      <c r="T342" s="21"/>
      <c r="U342" s="51">
        <v>55.18</v>
      </c>
      <c r="V342" s="60">
        <f>D342*U342/1000</f>
        <v>5.518</v>
      </c>
    </row>
    <row r="343" spans="2:22" s="6" customFormat="1" ht="15.75">
      <c r="B343" s="63" t="s">
        <v>54</v>
      </c>
      <c r="C343" s="17"/>
      <c r="D343" s="20">
        <v>100</v>
      </c>
      <c r="E343" s="20">
        <v>100</v>
      </c>
      <c r="F343" s="21"/>
      <c r="G343" s="21"/>
      <c r="H343" s="21"/>
      <c r="I343" s="21"/>
      <c r="J343" s="21"/>
      <c r="K343" s="21"/>
      <c r="L343" s="51"/>
      <c r="M343" s="21"/>
      <c r="N343" s="21"/>
      <c r="O343" s="112"/>
      <c r="P343" s="21"/>
      <c r="Q343" s="99"/>
      <c r="R343" s="202"/>
      <c r="S343" s="21"/>
      <c r="T343" s="21"/>
      <c r="U343" s="51"/>
      <c r="V343" s="60">
        <f>D343*U343/1000</f>
        <v>0</v>
      </c>
    </row>
    <row r="344" spans="1:22" s="6" customFormat="1" ht="15.75">
      <c r="A344" s="43"/>
      <c r="B344" s="123" t="s">
        <v>53</v>
      </c>
      <c r="C344" s="40">
        <v>40</v>
      </c>
      <c r="D344" s="69"/>
      <c r="E344" s="69"/>
      <c r="F344" s="40">
        <v>2.8</v>
      </c>
      <c r="G344" s="40">
        <v>0.48</v>
      </c>
      <c r="H344" s="40">
        <v>15.6</v>
      </c>
      <c r="I344" s="87">
        <v>80</v>
      </c>
      <c r="J344" s="74">
        <v>1.5</v>
      </c>
      <c r="K344" s="21"/>
      <c r="L344" s="21"/>
      <c r="M344" s="21"/>
      <c r="N344" s="21"/>
      <c r="O344" s="112"/>
      <c r="P344" s="21"/>
      <c r="Q344" s="99"/>
      <c r="R344" s="202"/>
      <c r="S344" s="21"/>
      <c r="T344" s="21"/>
      <c r="U344" s="421">
        <v>50.08</v>
      </c>
      <c r="V344" s="34">
        <f>C344*U344/1000</f>
        <v>2.0031999999999996</v>
      </c>
    </row>
    <row r="345" spans="1:22" s="43" customFormat="1" ht="31.5">
      <c r="A345" s="270" t="s">
        <v>197</v>
      </c>
      <c r="B345" s="271"/>
      <c r="C345" s="272" t="s">
        <v>213</v>
      </c>
      <c r="D345" s="271"/>
      <c r="E345" s="273"/>
      <c r="F345" s="274">
        <f>SUM(F327+F330+F338+F340+F344)</f>
        <v>29.200000000000003</v>
      </c>
      <c r="G345" s="274">
        <f>SUM(G327+G330+G338+G340+G344)</f>
        <v>21.08</v>
      </c>
      <c r="H345" s="274">
        <f>SUM(H327+H330+H338+H340+H344)</f>
        <v>49.7</v>
      </c>
      <c r="I345" s="274">
        <f>SUM(I327+I330+I338+I340+I344)</f>
        <v>623</v>
      </c>
      <c r="J345" s="274">
        <f>SUM(J327+J330+J338+J340+J344)</f>
        <v>4.9</v>
      </c>
      <c r="K345" s="82"/>
      <c r="L345" s="40"/>
      <c r="M345" s="67">
        <v>0</v>
      </c>
      <c r="N345" s="40">
        <v>0.05</v>
      </c>
      <c r="O345" s="107">
        <v>0</v>
      </c>
      <c r="P345" s="40">
        <v>0.5</v>
      </c>
      <c r="Q345" s="97">
        <v>9.2</v>
      </c>
      <c r="R345" s="74">
        <v>35.7</v>
      </c>
      <c r="S345" s="82">
        <v>13.2</v>
      </c>
      <c r="T345" s="40">
        <v>0.8</v>
      </c>
      <c r="U345" s="287"/>
      <c r="V345" s="287">
        <f>V327+V330+V338+V340+V344</f>
        <v>106.930484</v>
      </c>
    </row>
    <row r="346" spans="1:22" s="11" customFormat="1" ht="15.75">
      <c r="A346" s="264" t="s">
        <v>11</v>
      </c>
      <c r="B346" s="308"/>
      <c r="C346" s="264"/>
      <c r="D346" s="265"/>
      <c r="E346" s="266"/>
      <c r="F346" s="267"/>
      <c r="G346" s="267"/>
      <c r="H346" s="267"/>
      <c r="I346" s="267"/>
      <c r="J346" s="267"/>
      <c r="K346" s="274">
        <f>SUM(K328+K331+K339+K341+K345)</f>
        <v>0</v>
      </c>
      <c r="L346" s="274">
        <f>SUM(L328+L331+L339+L341+L345)</f>
        <v>0</v>
      </c>
      <c r="M346" s="274">
        <f>SUM(M328+M331+M339+M341+M345)</f>
        <v>2.9000000000000004</v>
      </c>
      <c r="N346" s="274">
        <f>SUM(N328+N331+N339+N341+N345)</f>
        <v>1.2300000000000002</v>
      </c>
      <c r="O346" s="275">
        <f>SUM(O328+O331+O339+O341+O345)</f>
        <v>205</v>
      </c>
      <c r="P346" s="274">
        <f>SUM(P328+P331+P339+P341+P345)</f>
        <v>1.9400000000000002</v>
      </c>
      <c r="Q346" s="274">
        <f>SUM(Q328+Q331+Q339+Q341+Q345)</f>
        <v>751.98</v>
      </c>
      <c r="R346" s="274">
        <f>SUM(R328+R331+R339+R341+R345)</f>
        <v>706.5</v>
      </c>
      <c r="S346" s="275">
        <f>SUM(S328+S331+S339+S341+S345)</f>
        <v>102.2</v>
      </c>
      <c r="T346" s="274">
        <f>SUM(T328+T331+T339+T341+T345)</f>
        <v>22.53</v>
      </c>
      <c r="U346" s="6"/>
      <c r="V346" s="6"/>
    </row>
    <row r="347" spans="1:22" s="10" customFormat="1" ht="31.5">
      <c r="A347" s="45"/>
      <c r="B347" s="119" t="s">
        <v>246</v>
      </c>
      <c r="C347" s="33">
        <v>30</v>
      </c>
      <c r="D347" s="35">
        <v>50</v>
      </c>
      <c r="E347" s="35">
        <v>30</v>
      </c>
      <c r="F347" s="33">
        <v>0.6</v>
      </c>
      <c r="G347" s="33">
        <v>0.1</v>
      </c>
      <c r="H347" s="33">
        <v>3.2</v>
      </c>
      <c r="I347" s="33">
        <v>16</v>
      </c>
      <c r="J347" s="33">
        <v>0.3</v>
      </c>
      <c r="K347" s="309" t="e">
        <f>SUM(#REF!+#REF!+#REF!+#REF!+#REF!+K356+#REF!+#REF!)</f>
        <v>#REF!</v>
      </c>
      <c r="L347" s="309" t="e">
        <f>SUM(#REF!+#REF!+#REF!+#REF!+#REF!+L356+#REF!+#REF!)</f>
        <v>#REF!</v>
      </c>
      <c r="M347" s="309"/>
      <c r="N347" s="309"/>
      <c r="O347" s="309"/>
      <c r="P347" s="309"/>
      <c r="Q347" s="309"/>
      <c r="R347" s="309"/>
      <c r="S347" s="309"/>
      <c r="T347" s="309"/>
      <c r="U347" s="36">
        <v>180.42</v>
      </c>
      <c r="V347" s="34">
        <f>D347*U347/1000</f>
        <v>9.021</v>
      </c>
    </row>
    <row r="348" spans="1:206" s="45" customFormat="1" ht="31.5">
      <c r="A348" s="43"/>
      <c r="B348" s="133" t="s">
        <v>232</v>
      </c>
      <c r="C348" s="362" t="s">
        <v>136</v>
      </c>
      <c r="D348" s="40"/>
      <c r="E348" s="40"/>
      <c r="F348" s="40">
        <v>22.7</v>
      </c>
      <c r="G348" s="40">
        <v>19.2</v>
      </c>
      <c r="H348" s="40">
        <v>44.5</v>
      </c>
      <c r="I348" s="40">
        <v>225</v>
      </c>
      <c r="J348" s="40">
        <v>4.4</v>
      </c>
      <c r="K348" s="36"/>
      <c r="L348" s="36"/>
      <c r="M348" s="31">
        <v>3.2</v>
      </c>
      <c r="N348" s="33">
        <v>0.004</v>
      </c>
      <c r="O348" s="34">
        <v>0</v>
      </c>
      <c r="P348" s="34">
        <v>0.2</v>
      </c>
      <c r="Q348" s="30">
        <v>6.5</v>
      </c>
      <c r="R348" s="33">
        <v>8.2</v>
      </c>
      <c r="S348" s="33">
        <v>2.6</v>
      </c>
      <c r="T348" s="33">
        <v>0.24</v>
      </c>
      <c r="U348" s="40"/>
      <c r="V348" s="34">
        <f>SUM(V349:V361)</f>
        <v>19.713860000000004</v>
      </c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</row>
    <row r="349" spans="1:22" s="43" customFormat="1" ht="15.75">
      <c r="A349" s="28"/>
      <c r="B349" s="142" t="s">
        <v>262</v>
      </c>
      <c r="C349" s="35"/>
      <c r="D349" s="35">
        <v>16</v>
      </c>
      <c r="E349" s="35">
        <v>16</v>
      </c>
      <c r="F349" s="35"/>
      <c r="G349" s="35"/>
      <c r="H349" s="35"/>
      <c r="I349" s="35"/>
      <c r="J349" s="35"/>
      <c r="K349" s="40"/>
      <c r="L349" s="40"/>
      <c r="M349" s="41">
        <v>1.7</v>
      </c>
      <c r="N349" s="67">
        <v>0.2</v>
      </c>
      <c r="O349" s="41">
        <v>12</v>
      </c>
      <c r="P349" s="40">
        <v>0.8</v>
      </c>
      <c r="Q349" s="40">
        <v>47</v>
      </c>
      <c r="R349" s="87">
        <v>126.1</v>
      </c>
      <c r="S349" s="40">
        <v>42.2</v>
      </c>
      <c r="T349" s="40">
        <v>2.5</v>
      </c>
      <c r="U349" s="35">
        <v>440</v>
      </c>
      <c r="V349" s="60">
        <f>D349*U349/1000</f>
        <v>7.04</v>
      </c>
    </row>
    <row r="350" spans="2:22" s="28" customFormat="1" ht="15.75">
      <c r="B350" s="140" t="s">
        <v>129</v>
      </c>
      <c r="C350" s="35"/>
      <c r="D350" s="35">
        <v>67</v>
      </c>
      <c r="E350" s="35">
        <v>50</v>
      </c>
      <c r="F350" s="35"/>
      <c r="G350" s="35"/>
      <c r="H350" s="35"/>
      <c r="I350" s="35"/>
      <c r="J350" s="35"/>
      <c r="K350" s="35"/>
      <c r="L350" s="35"/>
      <c r="M350" s="60"/>
      <c r="N350" s="64"/>
      <c r="O350" s="60"/>
      <c r="P350" s="35"/>
      <c r="Q350" s="35"/>
      <c r="R350" s="121"/>
      <c r="S350" s="35"/>
      <c r="T350" s="35"/>
      <c r="U350" s="35">
        <v>50.25</v>
      </c>
      <c r="V350" s="60">
        <f aca="true" t="shared" si="28" ref="V350:V361">D350*U350/1000</f>
        <v>3.36675</v>
      </c>
    </row>
    <row r="351" spans="2:22" s="28" customFormat="1" ht="15.75">
      <c r="B351" s="140" t="s">
        <v>130</v>
      </c>
      <c r="C351" s="35"/>
      <c r="D351" s="35">
        <v>71</v>
      </c>
      <c r="E351" s="35">
        <v>50</v>
      </c>
      <c r="F351" s="35"/>
      <c r="G351" s="35"/>
      <c r="H351" s="35"/>
      <c r="I351" s="35"/>
      <c r="J351" s="35"/>
      <c r="K351" s="35"/>
      <c r="L351" s="35"/>
      <c r="M351" s="60"/>
      <c r="N351" s="64"/>
      <c r="O351" s="60"/>
      <c r="P351" s="35"/>
      <c r="Q351" s="35"/>
      <c r="R351" s="121"/>
      <c r="S351" s="35"/>
      <c r="T351" s="35"/>
      <c r="U351" s="35"/>
      <c r="V351" s="60">
        <f t="shared" si="28"/>
        <v>0</v>
      </c>
    </row>
    <row r="352" spans="2:22" s="28" customFormat="1" ht="15.75">
      <c r="B352" s="140" t="s">
        <v>131</v>
      </c>
      <c r="C352" s="35"/>
      <c r="D352" s="35">
        <v>77</v>
      </c>
      <c r="E352" s="35">
        <v>50</v>
      </c>
      <c r="F352" s="35"/>
      <c r="G352" s="35"/>
      <c r="H352" s="35"/>
      <c r="I352" s="35"/>
      <c r="J352" s="35"/>
      <c r="K352" s="35"/>
      <c r="L352" s="35"/>
      <c r="M352" s="60"/>
      <c r="N352" s="64"/>
      <c r="O352" s="60"/>
      <c r="P352" s="35"/>
      <c r="Q352" s="35"/>
      <c r="R352" s="121"/>
      <c r="S352" s="35"/>
      <c r="T352" s="35"/>
      <c r="U352" s="35"/>
      <c r="V352" s="60">
        <f t="shared" si="28"/>
        <v>0</v>
      </c>
    </row>
    <row r="353" spans="2:22" s="28" customFormat="1" ht="15.75">
      <c r="B353" s="140" t="s">
        <v>132</v>
      </c>
      <c r="C353" s="35"/>
      <c r="D353" s="35">
        <v>83</v>
      </c>
      <c r="E353" s="35">
        <v>50</v>
      </c>
      <c r="F353" s="35"/>
      <c r="G353" s="35"/>
      <c r="H353" s="35"/>
      <c r="I353" s="35"/>
      <c r="J353" s="35"/>
      <c r="K353" s="35"/>
      <c r="L353" s="35"/>
      <c r="M353" s="60"/>
      <c r="N353" s="64"/>
      <c r="O353" s="60"/>
      <c r="P353" s="35"/>
      <c r="Q353" s="35"/>
      <c r="R353" s="121"/>
      <c r="S353" s="35"/>
      <c r="T353" s="35"/>
      <c r="U353" s="35"/>
      <c r="V353" s="60">
        <f t="shared" si="28"/>
        <v>0</v>
      </c>
    </row>
    <row r="354" spans="2:22" s="28" customFormat="1" ht="15.75">
      <c r="B354" s="140" t="s">
        <v>147</v>
      </c>
      <c r="C354" s="35"/>
      <c r="D354" s="35">
        <v>20</v>
      </c>
      <c r="E354" s="35">
        <v>20</v>
      </c>
      <c r="F354" s="35"/>
      <c r="G354" s="35"/>
      <c r="H354" s="35"/>
      <c r="I354" s="35"/>
      <c r="J354" s="35"/>
      <c r="K354" s="35"/>
      <c r="L354" s="35"/>
      <c r="M354" s="60"/>
      <c r="N354" s="64"/>
      <c r="O354" s="60"/>
      <c r="P354" s="35"/>
      <c r="Q354" s="35"/>
      <c r="R354" s="121"/>
      <c r="S354" s="35"/>
      <c r="T354" s="35"/>
      <c r="U354" s="35">
        <v>66.4</v>
      </c>
      <c r="V354" s="60">
        <f t="shared" si="28"/>
        <v>1.328</v>
      </c>
    </row>
    <row r="355" spans="2:22" s="28" customFormat="1" ht="15.75">
      <c r="B355" s="140" t="s">
        <v>55</v>
      </c>
      <c r="C355" s="35"/>
      <c r="D355" s="35">
        <v>12</v>
      </c>
      <c r="E355" s="35">
        <v>10</v>
      </c>
      <c r="F355" s="35"/>
      <c r="G355" s="35"/>
      <c r="H355" s="35"/>
      <c r="I355" s="35"/>
      <c r="J355" s="35"/>
      <c r="K355" s="35"/>
      <c r="L355" s="35"/>
      <c r="M355" s="60"/>
      <c r="N355" s="64"/>
      <c r="O355" s="60"/>
      <c r="P355" s="35"/>
      <c r="Q355" s="35"/>
      <c r="R355" s="121"/>
      <c r="S355" s="35"/>
      <c r="T355" s="35"/>
      <c r="U355" s="35">
        <v>32.75</v>
      </c>
      <c r="V355" s="60">
        <f t="shared" si="28"/>
        <v>0.393</v>
      </c>
    </row>
    <row r="356" spans="2:22" s="28" customFormat="1" ht="15.75">
      <c r="B356" s="140" t="s">
        <v>133</v>
      </c>
      <c r="C356" s="35"/>
      <c r="D356" s="35">
        <v>16</v>
      </c>
      <c r="E356" s="35">
        <v>13</v>
      </c>
      <c r="F356" s="35"/>
      <c r="G356" s="35"/>
      <c r="H356" s="35"/>
      <c r="I356" s="35"/>
      <c r="J356" s="35"/>
      <c r="K356" s="35"/>
      <c r="L356" s="35"/>
      <c r="M356" s="60"/>
      <c r="N356" s="64"/>
      <c r="O356" s="60"/>
      <c r="P356" s="35"/>
      <c r="Q356" s="35"/>
      <c r="R356" s="121"/>
      <c r="S356" s="35"/>
      <c r="T356" s="35"/>
      <c r="U356" s="35">
        <v>81.72</v>
      </c>
      <c r="V356" s="60">
        <f t="shared" si="28"/>
        <v>1.30752</v>
      </c>
    </row>
    <row r="357" spans="2:22" s="28" customFormat="1" ht="15.75">
      <c r="B357" s="140" t="s">
        <v>104</v>
      </c>
      <c r="C357" s="35"/>
      <c r="D357" s="35">
        <v>17</v>
      </c>
      <c r="E357" s="35">
        <v>13</v>
      </c>
      <c r="F357" s="35"/>
      <c r="G357" s="35"/>
      <c r="H357" s="35"/>
      <c r="I357" s="35"/>
      <c r="J357" s="35"/>
      <c r="K357" s="35"/>
      <c r="L357" s="35"/>
      <c r="M357" s="60"/>
      <c r="N357" s="64"/>
      <c r="O357" s="60"/>
      <c r="P357" s="35"/>
      <c r="Q357" s="35"/>
      <c r="R357" s="121"/>
      <c r="S357" s="35"/>
      <c r="T357" s="35"/>
      <c r="U357" s="35"/>
      <c r="V357" s="60">
        <f t="shared" si="28"/>
        <v>0</v>
      </c>
    </row>
    <row r="358" spans="2:22" s="28" customFormat="1" ht="15.75">
      <c r="B358" s="140" t="s">
        <v>137</v>
      </c>
      <c r="C358" s="35"/>
      <c r="D358" s="35">
        <v>38</v>
      </c>
      <c r="E358" s="35">
        <v>32</v>
      </c>
      <c r="F358" s="35"/>
      <c r="G358" s="35"/>
      <c r="H358" s="35"/>
      <c r="I358" s="35"/>
      <c r="J358" s="35"/>
      <c r="K358" s="35"/>
      <c r="L358" s="35"/>
      <c r="M358" s="60"/>
      <c r="N358" s="64"/>
      <c r="O358" s="60"/>
      <c r="P358" s="35"/>
      <c r="Q358" s="35"/>
      <c r="R358" s="121"/>
      <c r="S358" s="35"/>
      <c r="T358" s="35"/>
      <c r="U358" s="35">
        <v>78.98</v>
      </c>
      <c r="V358" s="60">
        <f t="shared" si="28"/>
        <v>3.00124</v>
      </c>
    </row>
    <row r="359" spans="2:22" s="28" customFormat="1" ht="15.75">
      <c r="B359" s="140" t="s">
        <v>57</v>
      </c>
      <c r="C359" s="35"/>
      <c r="D359" s="35">
        <v>5</v>
      </c>
      <c r="E359" s="35">
        <v>5</v>
      </c>
      <c r="F359" s="35"/>
      <c r="G359" s="35"/>
      <c r="H359" s="35"/>
      <c r="I359" s="35"/>
      <c r="J359" s="35"/>
      <c r="K359" s="35"/>
      <c r="L359" s="35"/>
      <c r="M359" s="60"/>
      <c r="N359" s="64"/>
      <c r="O359" s="60"/>
      <c r="P359" s="35"/>
      <c r="Q359" s="35"/>
      <c r="R359" s="121"/>
      <c r="S359" s="35"/>
      <c r="T359" s="35"/>
      <c r="U359" s="35">
        <v>653.09</v>
      </c>
      <c r="V359" s="60">
        <f t="shared" si="28"/>
        <v>3.2654500000000004</v>
      </c>
    </row>
    <row r="360" spans="2:22" s="28" customFormat="1" ht="15.75">
      <c r="B360" s="140" t="s">
        <v>135</v>
      </c>
      <c r="C360" s="35"/>
      <c r="D360" s="35">
        <v>200</v>
      </c>
      <c r="E360" s="35">
        <v>200</v>
      </c>
      <c r="F360" s="35"/>
      <c r="G360" s="35"/>
      <c r="H360" s="35"/>
      <c r="I360" s="35"/>
      <c r="J360" s="35"/>
      <c r="K360" s="35"/>
      <c r="L360" s="35"/>
      <c r="M360" s="60"/>
      <c r="N360" s="64"/>
      <c r="O360" s="60"/>
      <c r="P360" s="35"/>
      <c r="Q360" s="35"/>
      <c r="R360" s="121"/>
      <c r="S360" s="35"/>
      <c r="T360" s="35"/>
      <c r="U360" s="35"/>
      <c r="V360" s="60">
        <f t="shared" si="28"/>
        <v>0</v>
      </c>
    </row>
    <row r="361" spans="2:22" s="28" customFormat="1" ht="15.75">
      <c r="B361" s="140" t="s">
        <v>14</v>
      </c>
      <c r="C361" s="35"/>
      <c r="D361" s="35">
        <v>1</v>
      </c>
      <c r="E361" s="35">
        <v>1</v>
      </c>
      <c r="F361" s="35"/>
      <c r="G361" s="35"/>
      <c r="H361" s="35"/>
      <c r="I361" s="35"/>
      <c r="J361" s="35"/>
      <c r="K361" s="35"/>
      <c r="L361" s="35"/>
      <c r="M361" s="60"/>
      <c r="N361" s="64"/>
      <c r="O361" s="60"/>
      <c r="P361" s="35"/>
      <c r="Q361" s="35"/>
      <c r="R361" s="121"/>
      <c r="S361" s="35"/>
      <c r="T361" s="35"/>
      <c r="U361" s="69">
        <v>11.9</v>
      </c>
      <c r="V361" s="60">
        <f t="shared" si="28"/>
        <v>0.0119</v>
      </c>
    </row>
    <row r="362" spans="1:22" s="28" customFormat="1" ht="15.75">
      <c r="A362" s="73"/>
      <c r="B362" s="133" t="s">
        <v>150</v>
      </c>
      <c r="C362" s="40">
        <v>100</v>
      </c>
      <c r="D362" s="40"/>
      <c r="E362" s="82"/>
      <c r="F362" s="40">
        <v>12.7</v>
      </c>
      <c r="G362" s="41">
        <v>17.3</v>
      </c>
      <c r="H362" s="41">
        <v>11.1</v>
      </c>
      <c r="I362" s="40">
        <v>216</v>
      </c>
      <c r="J362" s="40">
        <v>1.1</v>
      </c>
      <c r="K362" s="35"/>
      <c r="L362" s="35"/>
      <c r="M362" s="60"/>
      <c r="N362" s="64"/>
      <c r="O362" s="60"/>
      <c r="P362" s="35"/>
      <c r="Q362" s="35"/>
      <c r="R362" s="121"/>
      <c r="S362" s="35"/>
      <c r="T362" s="35"/>
      <c r="U362" s="77"/>
      <c r="V362" s="34">
        <f>SUM(V363:V367)</f>
        <v>38.94225</v>
      </c>
    </row>
    <row r="363" spans="1:22" s="73" customFormat="1" ht="15.75">
      <c r="A363" s="6"/>
      <c r="B363" s="157" t="s">
        <v>35</v>
      </c>
      <c r="C363" s="69"/>
      <c r="D363" s="69">
        <v>79</v>
      </c>
      <c r="E363" s="160">
        <v>79</v>
      </c>
      <c r="F363" s="69"/>
      <c r="G363" s="86"/>
      <c r="H363" s="86"/>
      <c r="I363" s="69"/>
      <c r="J363" s="69"/>
      <c r="K363" s="77"/>
      <c r="L363" s="41"/>
      <c r="M363" s="67">
        <v>2.1</v>
      </c>
      <c r="N363" s="40">
        <v>0.33</v>
      </c>
      <c r="O363" s="41">
        <v>0</v>
      </c>
      <c r="P363" s="41">
        <v>5.3</v>
      </c>
      <c r="Q363" s="97">
        <v>160</v>
      </c>
      <c r="R363" s="74">
        <v>195</v>
      </c>
      <c r="S363" s="74">
        <v>253</v>
      </c>
      <c r="T363" s="40">
        <v>4.5</v>
      </c>
      <c r="U363" s="60">
        <v>440</v>
      </c>
      <c r="V363" s="60">
        <f>D363*U363/1000</f>
        <v>34.76</v>
      </c>
    </row>
    <row r="364" spans="2:22" s="6" customFormat="1" ht="15.75">
      <c r="B364" s="157" t="s">
        <v>55</v>
      </c>
      <c r="C364" s="69"/>
      <c r="D364" s="69">
        <v>53.6</v>
      </c>
      <c r="E364" s="160">
        <v>45</v>
      </c>
      <c r="F364" s="69"/>
      <c r="G364" s="86"/>
      <c r="H364" s="86"/>
      <c r="I364" s="69"/>
      <c r="J364" s="69"/>
      <c r="K364" s="69"/>
      <c r="L364" s="86"/>
      <c r="M364" s="156"/>
      <c r="N364" s="69"/>
      <c r="O364" s="86"/>
      <c r="P364" s="86"/>
      <c r="Q364" s="156"/>
      <c r="R364" s="86"/>
      <c r="S364" s="86"/>
      <c r="T364" s="69"/>
      <c r="U364" s="69">
        <v>32.75</v>
      </c>
      <c r="V364" s="60">
        <f>D364*U364/1000</f>
        <v>1.7554</v>
      </c>
    </row>
    <row r="365" spans="2:22" s="6" customFormat="1" ht="15.75">
      <c r="B365" s="157" t="s">
        <v>57</v>
      </c>
      <c r="C365" s="69"/>
      <c r="D365" s="69">
        <v>6.2</v>
      </c>
      <c r="E365" s="160">
        <v>6.2</v>
      </c>
      <c r="F365" s="69"/>
      <c r="G365" s="86"/>
      <c r="H365" s="86"/>
      <c r="I365" s="69"/>
      <c r="J365" s="69"/>
      <c r="K365" s="69"/>
      <c r="L365" s="86"/>
      <c r="M365" s="156"/>
      <c r="N365" s="69"/>
      <c r="O365" s="86"/>
      <c r="P365" s="86"/>
      <c r="Q365" s="156"/>
      <c r="R365" s="86"/>
      <c r="S365" s="86"/>
      <c r="T365" s="69"/>
      <c r="U365" s="60">
        <v>125.7</v>
      </c>
      <c r="V365" s="60">
        <f>D365*U365/1000</f>
        <v>0.77934</v>
      </c>
    </row>
    <row r="366" spans="2:22" s="6" customFormat="1" ht="15.75">
      <c r="B366" s="157" t="s">
        <v>250</v>
      </c>
      <c r="C366" s="69"/>
      <c r="D366" s="69">
        <v>6.2</v>
      </c>
      <c r="E366" s="160">
        <v>6.2</v>
      </c>
      <c r="F366" s="69"/>
      <c r="G366" s="86"/>
      <c r="H366" s="86"/>
      <c r="I366" s="69"/>
      <c r="J366" s="69"/>
      <c r="K366" s="69"/>
      <c r="L366" s="86"/>
      <c r="M366" s="156"/>
      <c r="N366" s="69"/>
      <c r="O366" s="86"/>
      <c r="P366" s="86"/>
      <c r="Q366" s="156"/>
      <c r="R366" s="86"/>
      <c r="S366" s="86"/>
      <c r="T366" s="69"/>
      <c r="U366" s="60">
        <v>264</v>
      </c>
      <c r="V366" s="60">
        <f>D366*U366/1000</f>
        <v>1.6368</v>
      </c>
    </row>
    <row r="367" spans="2:22" s="6" customFormat="1" ht="15.75">
      <c r="B367" s="157" t="s">
        <v>14</v>
      </c>
      <c r="C367" s="69"/>
      <c r="D367" s="69">
        <v>0.9</v>
      </c>
      <c r="E367" s="160">
        <v>0.9</v>
      </c>
      <c r="F367" s="69"/>
      <c r="G367" s="86"/>
      <c r="H367" s="86"/>
      <c r="I367" s="69"/>
      <c r="J367" s="69"/>
      <c r="K367" s="69"/>
      <c r="L367" s="86"/>
      <c r="M367" s="156"/>
      <c r="N367" s="69"/>
      <c r="O367" s="86"/>
      <c r="P367" s="86"/>
      <c r="Q367" s="156"/>
      <c r="R367" s="86"/>
      <c r="S367" s="86"/>
      <c r="T367" s="69"/>
      <c r="U367" s="60">
        <v>11.9</v>
      </c>
      <c r="V367" s="60">
        <f>D367*U367/1000</f>
        <v>0.01071</v>
      </c>
    </row>
    <row r="368" spans="1:22" s="6" customFormat="1" ht="15.75">
      <c r="A368" s="4"/>
      <c r="B368" s="123" t="s">
        <v>101</v>
      </c>
      <c r="C368" s="40">
        <v>180</v>
      </c>
      <c r="D368" s="40"/>
      <c r="E368" s="40"/>
      <c r="F368" s="41">
        <v>3.6</v>
      </c>
      <c r="G368" s="41">
        <v>4.7</v>
      </c>
      <c r="H368" s="40">
        <v>43.8</v>
      </c>
      <c r="I368" s="40">
        <v>202</v>
      </c>
      <c r="J368" s="40">
        <v>4.3</v>
      </c>
      <c r="K368" s="69"/>
      <c r="L368" s="86"/>
      <c r="M368" s="156"/>
      <c r="N368" s="69"/>
      <c r="O368" s="86"/>
      <c r="P368" s="86"/>
      <c r="Q368" s="156"/>
      <c r="R368" s="86"/>
      <c r="S368" s="86"/>
      <c r="T368" s="69"/>
      <c r="U368" s="34"/>
      <c r="V368" s="34">
        <f>SUM(V369:V386)</f>
        <v>13.324738</v>
      </c>
    </row>
    <row r="369" spans="1:206" s="4" customFormat="1" ht="15.75">
      <c r="A369" s="5"/>
      <c r="B369" s="151" t="s">
        <v>82</v>
      </c>
      <c r="C369" s="40"/>
      <c r="D369" s="69">
        <v>84.5</v>
      </c>
      <c r="E369" s="69">
        <v>64</v>
      </c>
      <c r="F369" s="71"/>
      <c r="G369" s="71"/>
      <c r="H369" s="71"/>
      <c r="I369" s="71"/>
      <c r="J369" s="71"/>
      <c r="K369" s="40"/>
      <c r="L369" s="40"/>
      <c r="M369" s="42">
        <v>9.7</v>
      </c>
      <c r="N369" s="40">
        <v>0.15</v>
      </c>
      <c r="O369" s="41">
        <v>0</v>
      </c>
      <c r="P369" s="41">
        <v>2.6</v>
      </c>
      <c r="Q369" s="40">
        <v>31.3</v>
      </c>
      <c r="R369" s="40">
        <v>98.5</v>
      </c>
      <c r="S369" s="41">
        <v>43.2</v>
      </c>
      <c r="T369" s="41">
        <v>1.2</v>
      </c>
      <c r="U369" s="60">
        <v>50.25</v>
      </c>
      <c r="V369" s="60">
        <f>D369*U369/1000</f>
        <v>4.246125</v>
      </c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</row>
    <row r="370" spans="2:206" s="5" customFormat="1" ht="15.75">
      <c r="B370" s="151" t="s">
        <v>83</v>
      </c>
      <c r="C370" s="40"/>
      <c r="D370" s="69">
        <v>92.2</v>
      </c>
      <c r="E370" s="69">
        <v>64</v>
      </c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60"/>
      <c r="V370" s="60">
        <f aca="true" t="shared" si="29" ref="V370:V386">D370*U370/1000</f>
        <v>0</v>
      </c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</row>
    <row r="371" spans="2:206" s="5" customFormat="1" ht="15.75">
      <c r="B371" s="151" t="s">
        <v>102</v>
      </c>
      <c r="C371" s="40"/>
      <c r="D371" s="69">
        <v>97.3</v>
      </c>
      <c r="E371" s="69">
        <v>64</v>
      </c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60"/>
      <c r="V371" s="60">
        <f t="shared" si="29"/>
        <v>0</v>
      </c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</row>
    <row r="372" spans="2:206" s="5" customFormat="1" ht="15.75">
      <c r="B372" s="151" t="s">
        <v>85</v>
      </c>
      <c r="C372" s="40"/>
      <c r="D372" s="69">
        <v>105</v>
      </c>
      <c r="E372" s="69">
        <v>64</v>
      </c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60"/>
      <c r="V372" s="60">
        <f t="shared" si="29"/>
        <v>0</v>
      </c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</row>
    <row r="373" spans="2:206" s="5" customFormat="1" ht="15.75">
      <c r="B373" s="151" t="s">
        <v>103</v>
      </c>
      <c r="C373" s="40"/>
      <c r="D373" s="69">
        <v>58</v>
      </c>
      <c r="E373" s="69">
        <v>46</v>
      </c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60">
        <v>39.19</v>
      </c>
      <c r="V373" s="60">
        <f t="shared" si="29"/>
        <v>2.27302</v>
      </c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</row>
    <row r="374" spans="2:206" s="5" customFormat="1" ht="15.75">
      <c r="B374" s="151" t="s">
        <v>57</v>
      </c>
      <c r="C374" s="40"/>
      <c r="D374" s="69">
        <v>6</v>
      </c>
      <c r="E374" s="69">
        <v>6</v>
      </c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60">
        <v>125.7</v>
      </c>
      <c r="V374" s="60">
        <f t="shared" si="29"/>
        <v>0.7542000000000001</v>
      </c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</row>
    <row r="375" spans="2:206" s="5" customFormat="1" ht="15.75">
      <c r="B375" s="151" t="s">
        <v>60</v>
      </c>
      <c r="C375" s="40"/>
      <c r="D375" s="69">
        <v>18.8</v>
      </c>
      <c r="E375" s="69">
        <v>15</v>
      </c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60">
        <v>81.72</v>
      </c>
      <c r="V375" s="60">
        <f t="shared" si="29"/>
        <v>1.536336</v>
      </c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</row>
    <row r="376" spans="2:206" s="5" customFormat="1" ht="15.75">
      <c r="B376" s="151" t="s">
        <v>104</v>
      </c>
      <c r="C376" s="40"/>
      <c r="D376" s="69">
        <v>20</v>
      </c>
      <c r="E376" s="69">
        <v>15</v>
      </c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60"/>
      <c r="V376" s="60">
        <f t="shared" si="29"/>
        <v>0</v>
      </c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</row>
    <row r="377" spans="2:206" s="5" customFormat="1" ht="15.75">
      <c r="B377" s="151" t="s">
        <v>14</v>
      </c>
      <c r="C377" s="40"/>
      <c r="D377" s="69">
        <v>1</v>
      </c>
      <c r="E377" s="69">
        <v>1</v>
      </c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60">
        <v>11.9</v>
      </c>
      <c r="V377" s="60">
        <f t="shared" si="29"/>
        <v>0.0119</v>
      </c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</row>
    <row r="378" spans="2:206" s="5" customFormat="1" ht="15.75">
      <c r="B378" s="193" t="s">
        <v>105</v>
      </c>
      <c r="C378" s="40"/>
      <c r="D378" s="69"/>
      <c r="E378" s="40">
        <v>55</v>
      </c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60"/>
      <c r="V378" s="60">
        <f t="shared" si="29"/>
        <v>0</v>
      </c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</row>
    <row r="379" spans="2:206" s="5" customFormat="1" ht="15.75">
      <c r="B379" s="151" t="s">
        <v>58</v>
      </c>
      <c r="C379" s="40"/>
      <c r="D379" s="69">
        <v>3.6</v>
      </c>
      <c r="E379" s="69">
        <v>3.6</v>
      </c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60">
        <v>653.09</v>
      </c>
      <c r="V379" s="60">
        <f t="shared" si="29"/>
        <v>2.3511240000000004</v>
      </c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</row>
    <row r="380" spans="2:206" s="5" customFormat="1" ht="15.75">
      <c r="B380" s="155" t="s">
        <v>263</v>
      </c>
      <c r="C380" s="40"/>
      <c r="D380" s="69">
        <v>2.1</v>
      </c>
      <c r="E380" s="69">
        <v>2.1</v>
      </c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60">
        <v>264</v>
      </c>
      <c r="V380" s="60">
        <f t="shared" si="29"/>
        <v>0.5544</v>
      </c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</row>
    <row r="381" spans="2:206" s="5" customFormat="1" ht="15.75">
      <c r="B381" s="155" t="s">
        <v>106</v>
      </c>
      <c r="C381" s="40"/>
      <c r="D381" s="69">
        <v>51</v>
      </c>
      <c r="E381" s="69">
        <v>51</v>
      </c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60"/>
      <c r="V381" s="60">
        <f t="shared" si="29"/>
        <v>0</v>
      </c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</row>
    <row r="382" spans="2:206" s="5" customFormat="1" ht="15.75">
      <c r="B382" s="155" t="s">
        <v>60</v>
      </c>
      <c r="C382" s="40"/>
      <c r="D382" s="69">
        <v>17.3</v>
      </c>
      <c r="E382" s="69">
        <v>13.8</v>
      </c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60">
        <v>81.72</v>
      </c>
      <c r="V382" s="60">
        <f t="shared" si="29"/>
        <v>1.413756</v>
      </c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</row>
    <row r="383" spans="2:206" s="5" customFormat="1" ht="15.75">
      <c r="B383" s="151" t="s">
        <v>104</v>
      </c>
      <c r="C383" s="40"/>
      <c r="D383" s="69">
        <v>18.4</v>
      </c>
      <c r="E383" s="69">
        <v>13.8</v>
      </c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60"/>
      <c r="V383" s="60">
        <f t="shared" si="29"/>
        <v>0</v>
      </c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</row>
    <row r="384" spans="2:206" s="5" customFormat="1" ht="15.75">
      <c r="B384" s="151" t="s">
        <v>55</v>
      </c>
      <c r="C384" s="40"/>
      <c r="D384" s="69">
        <v>1.3</v>
      </c>
      <c r="E384" s="69">
        <v>1.1</v>
      </c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60">
        <v>32.75</v>
      </c>
      <c r="V384" s="60">
        <f t="shared" si="29"/>
        <v>0.042575</v>
      </c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</row>
    <row r="385" spans="2:206" s="5" customFormat="1" ht="15.75">
      <c r="B385" s="151" t="s">
        <v>56</v>
      </c>
      <c r="C385" s="40"/>
      <c r="D385" s="69">
        <v>2.8</v>
      </c>
      <c r="E385" s="69">
        <v>2.8</v>
      </c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60">
        <v>39.08</v>
      </c>
      <c r="V385" s="60">
        <f t="shared" si="29"/>
        <v>0.109424</v>
      </c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</row>
    <row r="386" spans="2:206" s="5" customFormat="1" ht="15.75">
      <c r="B386" s="151" t="s">
        <v>62</v>
      </c>
      <c r="C386" s="40"/>
      <c r="D386" s="69">
        <v>0.6</v>
      </c>
      <c r="E386" s="69">
        <v>0.6</v>
      </c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60">
        <v>53.13</v>
      </c>
      <c r="V386" s="60">
        <f t="shared" si="29"/>
        <v>0.031878000000000004</v>
      </c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</row>
    <row r="387" spans="1:206" s="5" customFormat="1" ht="31.5">
      <c r="A387" s="11"/>
      <c r="B387" s="147" t="s">
        <v>255</v>
      </c>
      <c r="C387" s="33">
        <v>200</v>
      </c>
      <c r="D387" s="33"/>
      <c r="E387" s="33"/>
      <c r="F387" s="34">
        <v>0.68</v>
      </c>
      <c r="G387" s="34">
        <v>0.1</v>
      </c>
      <c r="H387" s="34">
        <v>2</v>
      </c>
      <c r="I387" s="33">
        <v>133</v>
      </c>
      <c r="J387" s="33">
        <v>0.2</v>
      </c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34"/>
      <c r="V387" s="34">
        <f>SUM(V388:V390)</f>
        <v>3.84986</v>
      </c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</row>
    <row r="388" spans="1:22" s="11" customFormat="1" ht="15.75">
      <c r="A388" s="6"/>
      <c r="B388" s="154" t="s">
        <v>110</v>
      </c>
      <c r="C388" s="40"/>
      <c r="D388" s="69">
        <v>18</v>
      </c>
      <c r="E388" s="69">
        <v>18</v>
      </c>
      <c r="F388" s="71"/>
      <c r="G388" s="71"/>
      <c r="H388" s="71"/>
      <c r="I388" s="71"/>
      <c r="J388" s="71"/>
      <c r="K388" s="33"/>
      <c r="L388" s="34"/>
      <c r="M388" s="33">
        <v>0.22</v>
      </c>
      <c r="N388" s="34">
        <v>0</v>
      </c>
      <c r="O388" s="79">
        <v>0</v>
      </c>
      <c r="P388" s="34">
        <v>0</v>
      </c>
      <c r="Q388" s="38">
        <v>23.33</v>
      </c>
      <c r="R388" s="44">
        <v>16.65</v>
      </c>
      <c r="S388" s="33">
        <v>2.38</v>
      </c>
      <c r="T388" s="30">
        <v>0.54</v>
      </c>
      <c r="U388" s="60">
        <v>206.92</v>
      </c>
      <c r="V388" s="60">
        <f>D388*U388/1000</f>
        <v>3.72456</v>
      </c>
    </row>
    <row r="389" spans="2:22" s="6" customFormat="1" ht="15.75">
      <c r="B389" s="154" t="s">
        <v>54</v>
      </c>
      <c r="C389" s="40"/>
      <c r="D389" s="69">
        <v>183</v>
      </c>
      <c r="E389" s="69">
        <v>183</v>
      </c>
      <c r="F389" s="71"/>
      <c r="G389" s="71"/>
      <c r="H389" s="71"/>
      <c r="I389" s="71"/>
      <c r="J389" s="71"/>
      <c r="K389" s="69"/>
      <c r="L389" s="69"/>
      <c r="M389" s="71"/>
      <c r="N389" s="71"/>
      <c r="O389" s="152"/>
      <c r="P389" s="71"/>
      <c r="Q389" s="153"/>
      <c r="R389" s="153"/>
      <c r="S389" s="71"/>
      <c r="T389" s="71"/>
      <c r="U389" s="60"/>
      <c r="V389" s="60">
        <f>D389*U389/1000</f>
        <v>0</v>
      </c>
    </row>
    <row r="390" spans="2:22" s="6" customFormat="1" ht="15.75">
      <c r="B390" s="154" t="s">
        <v>111</v>
      </c>
      <c r="C390" s="40"/>
      <c r="D390" s="69">
        <v>0.07</v>
      </c>
      <c r="E390" s="69">
        <v>0.07</v>
      </c>
      <c r="F390" s="71"/>
      <c r="G390" s="71"/>
      <c r="H390" s="71"/>
      <c r="I390" s="159"/>
      <c r="J390" s="159"/>
      <c r="K390" s="71"/>
      <c r="L390" s="71"/>
      <c r="M390" s="71"/>
      <c r="N390" s="71"/>
      <c r="O390" s="152"/>
      <c r="P390" s="71"/>
      <c r="Q390" s="153"/>
      <c r="R390" s="153"/>
      <c r="S390" s="71"/>
      <c r="T390" s="71"/>
      <c r="U390" s="418">
        <v>1790</v>
      </c>
      <c r="V390" s="60">
        <f>D390*U390/1000</f>
        <v>0.12530000000000002</v>
      </c>
    </row>
    <row r="391" spans="1:22" s="6" customFormat="1" ht="15.75">
      <c r="A391" s="70"/>
      <c r="B391" s="123" t="s">
        <v>53</v>
      </c>
      <c r="C391" s="40">
        <v>40</v>
      </c>
      <c r="D391" s="69"/>
      <c r="E391" s="69"/>
      <c r="F391" s="40">
        <v>2.8</v>
      </c>
      <c r="G391" s="40">
        <v>0.48</v>
      </c>
      <c r="H391" s="40">
        <v>15.6</v>
      </c>
      <c r="I391" s="87">
        <v>80</v>
      </c>
      <c r="J391" s="74">
        <v>1.5</v>
      </c>
      <c r="K391" s="159"/>
      <c r="L391" s="71"/>
      <c r="M391" s="71"/>
      <c r="N391" s="71"/>
      <c r="O391" s="152"/>
      <c r="P391" s="71"/>
      <c r="Q391" s="153"/>
      <c r="R391" s="153"/>
      <c r="S391" s="159"/>
      <c r="T391" s="71"/>
      <c r="U391" s="35">
        <v>50.08</v>
      </c>
      <c r="V391" s="34">
        <f>C391*U391/1000</f>
        <v>2.0031999999999996</v>
      </c>
    </row>
    <row r="392" spans="1:22" s="70" customFormat="1" ht="31.5">
      <c r="A392" s="276" t="s">
        <v>198</v>
      </c>
      <c r="B392" s="317"/>
      <c r="C392" s="277">
        <v>760</v>
      </c>
      <c r="D392" s="277"/>
      <c r="E392" s="278"/>
      <c r="F392" s="413">
        <f aca="true" t="shared" si="30" ref="F392:T392">F347+F348+F362+F368+F387+F391</f>
        <v>43.08</v>
      </c>
      <c r="G392" s="413">
        <f t="shared" si="30"/>
        <v>41.88</v>
      </c>
      <c r="H392" s="413">
        <f t="shared" si="30"/>
        <v>120.19999999999999</v>
      </c>
      <c r="I392" s="413">
        <f t="shared" si="30"/>
        <v>872</v>
      </c>
      <c r="J392" s="413">
        <f t="shared" si="30"/>
        <v>11.8</v>
      </c>
      <c r="K392" s="413" t="e">
        <f t="shared" si="30"/>
        <v>#REF!</v>
      </c>
      <c r="L392" s="413" t="e">
        <f t="shared" si="30"/>
        <v>#REF!</v>
      </c>
      <c r="M392" s="413">
        <f t="shared" si="30"/>
        <v>3.2</v>
      </c>
      <c r="N392" s="413">
        <f t="shared" si="30"/>
        <v>0.004</v>
      </c>
      <c r="O392" s="413">
        <f t="shared" si="30"/>
        <v>0</v>
      </c>
      <c r="P392" s="413">
        <f t="shared" si="30"/>
        <v>0.2</v>
      </c>
      <c r="Q392" s="413">
        <f t="shared" si="30"/>
        <v>6.5</v>
      </c>
      <c r="R392" s="413">
        <f t="shared" si="30"/>
        <v>8.2</v>
      </c>
      <c r="S392" s="413">
        <f t="shared" si="30"/>
        <v>2.6</v>
      </c>
      <c r="T392" s="413">
        <f t="shared" si="30"/>
        <v>0.24</v>
      </c>
      <c r="U392" s="413"/>
      <c r="V392" s="413">
        <f>V347+V348+V362+V368+V387+V391</f>
        <v>86.854908</v>
      </c>
    </row>
    <row r="393" spans="1:22" s="7" customFormat="1" ht="31.5">
      <c r="A393" s="280" t="s">
        <v>199</v>
      </c>
      <c r="B393" s="318"/>
      <c r="C393" s="281" t="s">
        <v>200</v>
      </c>
      <c r="D393" s="282"/>
      <c r="E393" s="282"/>
      <c r="F393" s="414">
        <f aca="true" t="shared" si="31" ref="F393:T393">F345+F392</f>
        <v>72.28</v>
      </c>
      <c r="G393" s="414">
        <f t="shared" si="31"/>
        <v>62.96</v>
      </c>
      <c r="H393" s="414">
        <f t="shared" si="31"/>
        <v>169.89999999999998</v>
      </c>
      <c r="I393" s="414">
        <f t="shared" si="31"/>
        <v>1495</v>
      </c>
      <c r="J393" s="414">
        <f t="shared" si="31"/>
        <v>16.700000000000003</v>
      </c>
      <c r="K393" s="414" t="e">
        <f t="shared" si="31"/>
        <v>#REF!</v>
      </c>
      <c r="L393" s="414" t="e">
        <f t="shared" si="31"/>
        <v>#REF!</v>
      </c>
      <c r="M393" s="414">
        <f t="shared" si="31"/>
        <v>3.2</v>
      </c>
      <c r="N393" s="414">
        <f t="shared" si="31"/>
        <v>0.054000000000000006</v>
      </c>
      <c r="O393" s="414">
        <f t="shared" si="31"/>
        <v>0</v>
      </c>
      <c r="P393" s="414">
        <f t="shared" si="31"/>
        <v>0.7</v>
      </c>
      <c r="Q393" s="414">
        <f t="shared" si="31"/>
        <v>15.7</v>
      </c>
      <c r="R393" s="414">
        <f t="shared" si="31"/>
        <v>43.900000000000006</v>
      </c>
      <c r="S393" s="414">
        <f t="shared" si="31"/>
        <v>15.799999999999999</v>
      </c>
      <c r="T393" s="414">
        <f t="shared" si="31"/>
        <v>1.04</v>
      </c>
      <c r="U393" s="414"/>
      <c r="V393" s="414">
        <f>V345+V392</f>
        <v>193.785392</v>
      </c>
    </row>
    <row r="394" spans="1:22" s="10" customFormat="1" ht="15.75">
      <c r="A394" s="258" t="s">
        <v>214</v>
      </c>
      <c r="B394" s="259"/>
      <c r="C394" s="260"/>
      <c r="D394" s="261"/>
      <c r="E394" s="258"/>
      <c r="F394" s="262"/>
      <c r="G394" s="263"/>
      <c r="H394" s="263"/>
      <c r="I394" s="263"/>
      <c r="J394" s="263"/>
      <c r="K394" s="283" t="e">
        <f>SUM(K346+K393)</f>
        <v>#REF!</v>
      </c>
      <c r="L394" s="283" t="e">
        <f>SUM(L346+L393)</f>
        <v>#REF!</v>
      </c>
      <c r="M394" s="283">
        <f>SUM(M346+M393)</f>
        <v>6.1000000000000005</v>
      </c>
      <c r="N394" s="283">
        <f>SUM(N346+N393)</f>
        <v>1.2840000000000003</v>
      </c>
      <c r="O394" s="284">
        <f>SUM(O346+O393)</f>
        <v>205</v>
      </c>
      <c r="P394" s="283">
        <f>SUM(P346+P393)</f>
        <v>2.64</v>
      </c>
      <c r="Q394" s="284">
        <f>SUM(Q346+Q393)</f>
        <v>767.6800000000001</v>
      </c>
      <c r="R394" s="284">
        <f>SUM(R346+R393)</f>
        <v>750.4</v>
      </c>
      <c r="S394" s="284">
        <f>SUM(S346+S393)</f>
        <v>118</v>
      </c>
      <c r="T394" s="283">
        <f>SUM(T346+T393)</f>
        <v>23.57</v>
      </c>
      <c r="U394" s="2"/>
      <c r="V394" s="2"/>
    </row>
    <row r="395" spans="1:22" s="6" customFormat="1" ht="15.75">
      <c r="A395" s="264" t="s">
        <v>52</v>
      </c>
      <c r="B395" s="308"/>
      <c r="C395" s="264"/>
      <c r="D395" s="265"/>
      <c r="E395" s="266"/>
      <c r="F395" s="267"/>
      <c r="G395" s="267"/>
      <c r="H395" s="267"/>
      <c r="I395" s="267"/>
      <c r="J395" s="267"/>
      <c r="K395" s="302"/>
      <c r="L395" s="303"/>
      <c r="M395" s="306"/>
      <c r="N395" s="306"/>
      <c r="O395" s="306"/>
      <c r="P395" s="306"/>
      <c r="Q395" s="306"/>
      <c r="R395" s="306"/>
      <c r="S395" s="306"/>
      <c r="T395" s="307"/>
      <c r="U395" s="70"/>
      <c r="V395" s="2"/>
    </row>
    <row r="396" spans="1:22" s="10" customFormat="1" ht="15.75">
      <c r="A396" s="43"/>
      <c r="B396" s="134" t="s">
        <v>43</v>
      </c>
      <c r="C396" s="72" t="s">
        <v>44</v>
      </c>
      <c r="D396" s="42"/>
      <c r="E396" s="66"/>
      <c r="F396" s="67">
        <v>3.2</v>
      </c>
      <c r="G396" s="68">
        <v>6.5</v>
      </c>
      <c r="H396" s="94">
        <v>9.3</v>
      </c>
      <c r="I396" s="104">
        <v>136</v>
      </c>
      <c r="J396" s="94">
        <v>0.9</v>
      </c>
      <c r="K396" s="309"/>
      <c r="L396" s="309" t="e">
        <f>SUM(#REF!+#REF!+#REF!+#REF!+#REF!+#REF!)</f>
        <v>#REF!</v>
      </c>
      <c r="M396" s="309"/>
      <c r="N396" s="309"/>
      <c r="O396" s="309"/>
      <c r="P396" s="309"/>
      <c r="Q396" s="309"/>
      <c r="R396" s="309"/>
      <c r="S396" s="309"/>
      <c r="T396" s="309"/>
      <c r="U396" s="68"/>
      <c r="V396" s="34">
        <f>SUM(V397:V398)</f>
        <v>8.0333</v>
      </c>
    </row>
    <row r="397" spans="1:22" s="43" customFormat="1" ht="15.75">
      <c r="A397" s="75"/>
      <c r="B397" s="143" t="s">
        <v>53</v>
      </c>
      <c r="C397" s="89"/>
      <c r="D397" s="90">
        <v>30</v>
      </c>
      <c r="E397" s="91">
        <v>30</v>
      </c>
      <c r="F397" s="156"/>
      <c r="G397" s="310"/>
      <c r="H397" s="310"/>
      <c r="I397" s="310"/>
      <c r="J397" s="310"/>
      <c r="K397" s="68"/>
      <c r="L397" s="68"/>
      <c r="M397" s="68">
        <v>0</v>
      </c>
      <c r="N397" s="68">
        <v>0.049</v>
      </c>
      <c r="O397" s="94">
        <v>45</v>
      </c>
      <c r="P397" s="68">
        <v>0.49</v>
      </c>
      <c r="Q397" s="68">
        <v>9.3</v>
      </c>
      <c r="R397" s="104">
        <v>29.1</v>
      </c>
      <c r="S397" s="68">
        <v>9.9</v>
      </c>
      <c r="T397" s="68">
        <v>0.62</v>
      </c>
      <c r="U397" s="51">
        <v>50.08</v>
      </c>
      <c r="V397" s="60">
        <f>D397*U397/1000</f>
        <v>1.5024</v>
      </c>
    </row>
    <row r="398" spans="1:22" s="12" customFormat="1" ht="15.75">
      <c r="A398" s="75"/>
      <c r="B398" s="188" t="s">
        <v>58</v>
      </c>
      <c r="C398" s="89"/>
      <c r="D398" s="90">
        <v>10</v>
      </c>
      <c r="E398" s="91">
        <v>10</v>
      </c>
      <c r="F398" s="156"/>
      <c r="G398" s="310"/>
      <c r="H398" s="310"/>
      <c r="I398" s="310"/>
      <c r="J398" s="310"/>
      <c r="K398" s="51"/>
      <c r="L398" s="51"/>
      <c r="M398" s="51"/>
      <c r="N398" s="51"/>
      <c r="O398" s="51"/>
      <c r="P398" s="51"/>
      <c r="Q398" s="51"/>
      <c r="R398" s="105"/>
      <c r="S398" s="51"/>
      <c r="T398" s="51"/>
      <c r="U398" s="51">
        <v>653.09</v>
      </c>
      <c r="V398" s="60">
        <f>D398*U398/1000</f>
        <v>6.530900000000001</v>
      </c>
    </row>
    <row r="399" spans="1:22" s="12" customFormat="1" ht="31.5">
      <c r="A399" s="43"/>
      <c r="B399" s="134" t="s">
        <v>13</v>
      </c>
      <c r="C399" s="65">
        <v>250</v>
      </c>
      <c r="D399" s="42"/>
      <c r="E399" s="66"/>
      <c r="F399" s="269">
        <v>14</v>
      </c>
      <c r="G399" s="269">
        <v>15.3</v>
      </c>
      <c r="H399" s="269">
        <v>27</v>
      </c>
      <c r="I399" s="319">
        <v>298</v>
      </c>
      <c r="J399" s="319">
        <v>2.7</v>
      </c>
      <c r="K399" s="51"/>
      <c r="L399" s="51"/>
      <c r="M399" s="51"/>
      <c r="N399" s="51"/>
      <c r="O399" s="51"/>
      <c r="P399" s="51"/>
      <c r="Q399" s="51"/>
      <c r="R399" s="105"/>
      <c r="S399" s="51"/>
      <c r="T399" s="51"/>
      <c r="U399" s="422"/>
      <c r="V399" s="34">
        <f>SUM(V400:V403)</f>
        <v>16.69193</v>
      </c>
    </row>
    <row r="400" spans="1:22" s="10" customFormat="1" ht="15.75">
      <c r="A400" s="75"/>
      <c r="B400" s="188" t="s">
        <v>86</v>
      </c>
      <c r="C400" s="89"/>
      <c r="D400" s="90">
        <v>230</v>
      </c>
      <c r="E400" s="91">
        <v>230</v>
      </c>
      <c r="F400" s="156"/>
      <c r="G400" s="310"/>
      <c r="H400" s="310"/>
      <c r="I400" s="310"/>
      <c r="J400" s="310"/>
      <c r="K400" s="269"/>
      <c r="L400" s="68"/>
      <c r="M400" s="269">
        <v>0.83</v>
      </c>
      <c r="N400" s="269">
        <v>0.09</v>
      </c>
      <c r="O400" s="269">
        <v>33</v>
      </c>
      <c r="P400" s="269">
        <v>0.37</v>
      </c>
      <c r="Q400" s="320">
        <v>162</v>
      </c>
      <c r="R400" s="319">
        <v>137</v>
      </c>
      <c r="S400" s="269">
        <v>26.6</v>
      </c>
      <c r="T400" s="269">
        <v>0.65</v>
      </c>
      <c r="U400" s="51">
        <v>55.18</v>
      </c>
      <c r="V400" s="60">
        <f>D400*U400/1000</f>
        <v>12.6914</v>
      </c>
    </row>
    <row r="401" spans="1:22" s="12" customFormat="1" ht="15.75">
      <c r="A401" s="75"/>
      <c r="B401" s="188" t="s">
        <v>12</v>
      </c>
      <c r="C401" s="89"/>
      <c r="D401" s="90">
        <v>20</v>
      </c>
      <c r="E401" s="91">
        <v>20</v>
      </c>
      <c r="F401" s="156"/>
      <c r="G401" s="310"/>
      <c r="H401" s="310"/>
      <c r="I401" s="310"/>
      <c r="J401" s="310"/>
      <c r="K401" s="310"/>
      <c r="L401" s="310"/>
      <c r="M401" s="310"/>
      <c r="N401" s="310"/>
      <c r="O401" s="310"/>
      <c r="P401" s="310"/>
      <c r="Q401" s="312"/>
      <c r="R401" s="311"/>
      <c r="S401" s="310"/>
      <c r="T401" s="310"/>
      <c r="U401" s="51">
        <v>134.42</v>
      </c>
      <c r="V401" s="60">
        <f>D401*U401/1000</f>
        <v>2.6883999999999997</v>
      </c>
    </row>
    <row r="402" spans="1:22" s="12" customFormat="1" ht="15.75">
      <c r="A402" s="75"/>
      <c r="B402" s="188" t="s">
        <v>58</v>
      </c>
      <c r="C402" s="89"/>
      <c r="D402" s="90">
        <v>2</v>
      </c>
      <c r="E402" s="91">
        <v>2</v>
      </c>
      <c r="F402" s="156"/>
      <c r="G402" s="310"/>
      <c r="H402" s="310"/>
      <c r="I402" s="310"/>
      <c r="J402" s="310"/>
      <c r="K402" s="310"/>
      <c r="L402" s="310"/>
      <c r="M402" s="310"/>
      <c r="N402" s="310"/>
      <c r="O402" s="310"/>
      <c r="P402" s="310"/>
      <c r="Q402" s="312"/>
      <c r="R402" s="311"/>
      <c r="S402" s="310"/>
      <c r="T402" s="310"/>
      <c r="U402" s="51">
        <v>653.09</v>
      </c>
      <c r="V402" s="60">
        <f>D402*U402/1000</f>
        <v>1.3061800000000001</v>
      </c>
    </row>
    <row r="403" spans="1:22" s="12" customFormat="1" ht="15.75">
      <c r="A403" s="75"/>
      <c r="B403" s="188" t="s">
        <v>14</v>
      </c>
      <c r="C403" s="89"/>
      <c r="D403" s="90">
        <v>0.5</v>
      </c>
      <c r="E403" s="91">
        <v>0.5</v>
      </c>
      <c r="F403" s="156"/>
      <c r="G403" s="310"/>
      <c r="H403" s="310"/>
      <c r="I403" s="310"/>
      <c r="J403" s="310"/>
      <c r="K403" s="310"/>
      <c r="L403" s="310"/>
      <c r="M403" s="310"/>
      <c r="N403" s="310"/>
      <c r="O403" s="310"/>
      <c r="P403" s="310"/>
      <c r="Q403" s="312"/>
      <c r="R403" s="311"/>
      <c r="S403" s="310"/>
      <c r="T403" s="310"/>
      <c r="U403" s="51">
        <v>11.9</v>
      </c>
      <c r="V403" s="60">
        <f>D403*U403/1000</f>
        <v>0.00595</v>
      </c>
    </row>
    <row r="404" spans="1:22" s="12" customFormat="1" ht="15.75">
      <c r="A404" s="11"/>
      <c r="B404" s="147" t="s">
        <v>50</v>
      </c>
      <c r="C404" s="33">
        <v>125</v>
      </c>
      <c r="D404" s="33"/>
      <c r="E404" s="33"/>
      <c r="F404" s="33">
        <v>6.2</v>
      </c>
      <c r="G404" s="34">
        <v>3.1</v>
      </c>
      <c r="H404" s="33">
        <v>9.2</v>
      </c>
      <c r="I404" s="33">
        <v>85</v>
      </c>
      <c r="J404" s="33">
        <v>0.9</v>
      </c>
      <c r="K404" s="310"/>
      <c r="L404" s="310"/>
      <c r="M404" s="310"/>
      <c r="N404" s="310"/>
      <c r="O404" s="310"/>
      <c r="P404" s="310"/>
      <c r="Q404" s="312"/>
      <c r="R404" s="311"/>
      <c r="S404" s="310"/>
      <c r="T404" s="310"/>
      <c r="U404" s="34"/>
      <c r="V404" s="34">
        <f>V405</f>
        <v>18</v>
      </c>
    </row>
    <row r="405" spans="1:22" s="11" customFormat="1" ht="15.75">
      <c r="A405" s="75"/>
      <c r="B405" s="143" t="s">
        <v>51</v>
      </c>
      <c r="C405" s="313"/>
      <c r="D405" s="90">
        <v>125</v>
      </c>
      <c r="E405" s="91">
        <v>125</v>
      </c>
      <c r="F405" s="156"/>
      <c r="G405" s="310"/>
      <c r="H405" s="310"/>
      <c r="I405" s="310"/>
      <c r="J405" s="310"/>
      <c r="K405" s="33"/>
      <c r="L405" s="34"/>
      <c r="M405" s="34">
        <v>0.9</v>
      </c>
      <c r="N405" s="33">
        <v>0.1</v>
      </c>
      <c r="O405" s="34">
        <v>27</v>
      </c>
      <c r="P405" s="33">
        <v>0</v>
      </c>
      <c r="Q405" s="79">
        <v>165</v>
      </c>
      <c r="R405" s="79">
        <v>130</v>
      </c>
      <c r="S405" s="34">
        <v>20.4</v>
      </c>
      <c r="T405" s="33">
        <v>0.1</v>
      </c>
      <c r="U405" s="51">
        <v>144</v>
      </c>
      <c r="V405" s="60">
        <f>D405*U405/1000</f>
        <v>18</v>
      </c>
    </row>
    <row r="406" spans="1:22" s="12" customFormat="1" ht="15.75">
      <c r="A406" s="43"/>
      <c r="B406" s="122" t="s">
        <v>119</v>
      </c>
      <c r="C406" s="40" t="s">
        <v>41</v>
      </c>
      <c r="D406" s="40"/>
      <c r="E406" s="40"/>
      <c r="F406" s="40">
        <v>0.01</v>
      </c>
      <c r="G406" s="41">
        <v>0</v>
      </c>
      <c r="H406" s="41">
        <v>1.1</v>
      </c>
      <c r="I406" s="40">
        <v>45</v>
      </c>
      <c r="J406" s="40">
        <v>0.1</v>
      </c>
      <c r="K406" s="310"/>
      <c r="L406" s="310"/>
      <c r="M406" s="310"/>
      <c r="N406" s="310"/>
      <c r="O406" s="310"/>
      <c r="P406" s="310"/>
      <c r="Q406" s="310"/>
      <c r="R406" s="310"/>
      <c r="S406" s="310"/>
      <c r="T406" s="310"/>
      <c r="U406" s="37"/>
      <c r="V406" s="34">
        <f>SUM(V407:V408)</f>
        <v>2.38809</v>
      </c>
    </row>
    <row r="407" spans="1:22" s="43" customFormat="1" ht="15.75">
      <c r="A407" s="70"/>
      <c r="B407" s="151" t="s">
        <v>93</v>
      </c>
      <c r="C407" s="40"/>
      <c r="D407" s="69">
        <v>1</v>
      </c>
      <c r="E407" s="69">
        <v>1</v>
      </c>
      <c r="F407" s="71"/>
      <c r="G407" s="71"/>
      <c r="H407" s="71"/>
      <c r="I407" s="71"/>
      <c r="J407" s="71"/>
      <c r="K407" s="40"/>
      <c r="L407" s="37"/>
      <c r="M407" s="42">
        <v>1.1</v>
      </c>
      <c r="N407" s="74">
        <v>0</v>
      </c>
      <c r="O407" s="107">
        <v>0.1</v>
      </c>
      <c r="P407" s="41">
        <v>0</v>
      </c>
      <c r="Q407" s="97">
        <v>2.8</v>
      </c>
      <c r="R407" s="87">
        <v>1.8</v>
      </c>
      <c r="S407" s="40">
        <v>0.76</v>
      </c>
      <c r="T407" s="40">
        <v>0.07</v>
      </c>
      <c r="U407" s="36">
        <v>540.09</v>
      </c>
      <c r="V407" s="60">
        <f>D407*U407/1000</f>
        <v>0.5400900000000001</v>
      </c>
    </row>
    <row r="408" spans="1:22" s="6" customFormat="1" ht="15.75">
      <c r="A408" s="70"/>
      <c r="B408" s="151" t="s">
        <v>94</v>
      </c>
      <c r="C408" s="40"/>
      <c r="D408" s="69">
        <v>12</v>
      </c>
      <c r="E408" s="69">
        <v>10</v>
      </c>
      <c r="F408" s="71"/>
      <c r="G408" s="71"/>
      <c r="H408" s="71"/>
      <c r="I408" s="71"/>
      <c r="J408" s="71"/>
      <c r="K408" s="71"/>
      <c r="L408" s="36"/>
      <c r="M408" s="189"/>
      <c r="N408" s="71"/>
      <c r="O408" s="190"/>
      <c r="P408" s="71"/>
      <c r="Q408" s="191"/>
      <c r="R408" s="203"/>
      <c r="S408" s="71"/>
      <c r="T408" s="71"/>
      <c r="U408" s="36">
        <v>154</v>
      </c>
      <c r="V408" s="60">
        <f>D408*U408/1000</f>
        <v>1.848</v>
      </c>
    </row>
    <row r="409" spans="1:22" s="6" customFormat="1" ht="15.75">
      <c r="A409" s="70"/>
      <c r="B409" s="123" t="s">
        <v>53</v>
      </c>
      <c r="C409" s="40">
        <v>20</v>
      </c>
      <c r="D409" s="69"/>
      <c r="E409" s="69"/>
      <c r="F409" s="40">
        <v>1.4</v>
      </c>
      <c r="G409" s="40">
        <v>0.24</v>
      </c>
      <c r="H409" s="40">
        <v>7.8</v>
      </c>
      <c r="I409" s="87">
        <v>40</v>
      </c>
      <c r="J409" s="87">
        <v>0.7</v>
      </c>
      <c r="K409" s="71"/>
      <c r="L409" s="36"/>
      <c r="M409" s="71"/>
      <c r="N409" s="71"/>
      <c r="O409" s="152"/>
      <c r="P409" s="71"/>
      <c r="Q409" s="153"/>
      <c r="R409" s="203"/>
      <c r="S409" s="71"/>
      <c r="T409" s="71"/>
      <c r="U409" s="60">
        <v>50.08</v>
      </c>
      <c r="V409" s="34">
        <f>C409*U409/1000</f>
        <v>1.0015999999999998</v>
      </c>
    </row>
    <row r="410" spans="1:22" s="70" customFormat="1" ht="31.5">
      <c r="A410" s="270" t="s">
        <v>197</v>
      </c>
      <c r="B410" s="271"/>
      <c r="C410" s="272" t="s">
        <v>215</v>
      </c>
      <c r="D410" s="271"/>
      <c r="E410" s="273"/>
      <c r="F410" s="287">
        <f>SUM(F396+F399+F404+F406+F409)</f>
        <v>24.81</v>
      </c>
      <c r="G410" s="287">
        <f>SUM(G396+G399+G404+G406+G409)</f>
        <v>25.14</v>
      </c>
      <c r="H410" s="287">
        <f>SUM(H396+H399+H404+H406+H409)</f>
        <v>54.4</v>
      </c>
      <c r="I410" s="287">
        <f>SUM(I396+I399+I404+I406+I409)</f>
        <v>604</v>
      </c>
      <c r="J410" s="287">
        <f>SUM(J396+J399+J404+J406+J409)</f>
        <v>5.3</v>
      </c>
      <c r="K410" s="40"/>
      <c r="L410" s="40"/>
      <c r="M410" s="67">
        <v>0</v>
      </c>
      <c r="N410" s="40">
        <v>0.04</v>
      </c>
      <c r="O410" s="107">
        <v>0</v>
      </c>
      <c r="P410" s="40">
        <v>0.28</v>
      </c>
      <c r="Q410" s="97">
        <v>5.8</v>
      </c>
      <c r="R410" s="74">
        <v>30</v>
      </c>
      <c r="S410" s="41">
        <v>9.4</v>
      </c>
      <c r="T410" s="40">
        <v>0.78</v>
      </c>
      <c r="U410" s="287"/>
      <c r="V410" s="287">
        <f>V396+V399+V404+V406+V409</f>
        <v>46.11492</v>
      </c>
    </row>
    <row r="411" spans="1:22" s="11" customFormat="1" ht="15.75">
      <c r="A411" s="264" t="s">
        <v>11</v>
      </c>
      <c r="B411" s="308"/>
      <c r="C411" s="264"/>
      <c r="D411" s="265"/>
      <c r="E411" s="266"/>
      <c r="F411" s="267"/>
      <c r="G411" s="267"/>
      <c r="H411" s="267"/>
      <c r="I411" s="267"/>
      <c r="J411" s="267"/>
      <c r="K411" s="287" t="e">
        <f>SUM(K397+K400+K405+K407+#REF!+K410)</f>
        <v>#REF!</v>
      </c>
      <c r="L411" s="287" t="e">
        <f>SUM(L397+L400+L405+L407+#REF!+L410)</f>
        <v>#REF!</v>
      </c>
      <c r="M411" s="287" t="e">
        <f>SUM(M397+M400+M405+M407+#REF!+M410)</f>
        <v>#REF!</v>
      </c>
      <c r="N411" s="287" t="e">
        <f>SUM(N397+N400+N405+N407+#REF!+N410)</f>
        <v>#REF!</v>
      </c>
      <c r="O411" s="287" t="e">
        <f>SUM(O397+O400+O405+O407+#REF!+O410)</f>
        <v>#REF!</v>
      </c>
      <c r="P411" s="287" t="e">
        <f>SUM(P397+P400+P405+P407+#REF!+P410)</f>
        <v>#REF!</v>
      </c>
      <c r="Q411" s="287" t="e">
        <f>SUM(Q397+Q400+Q405+Q407+#REF!+Q410)</f>
        <v>#REF!</v>
      </c>
      <c r="R411" s="287" t="e">
        <f>SUM(R397+R400+R405+R407+#REF!+R410)</f>
        <v>#REF!</v>
      </c>
      <c r="S411" s="287" t="e">
        <f>SUM(S397+S400+S405+S407+#REF!+S410)</f>
        <v>#REF!</v>
      </c>
      <c r="T411" s="287" t="e">
        <f>SUM(T397+T400+T405+T407+#REF!+T410)</f>
        <v>#REF!</v>
      </c>
      <c r="U411" s="28"/>
      <c r="V411" s="10"/>
    </row>
    <row r="412" spans="1:22" s="10" customFormat="1" ht="15.75">
      <c r="A412" s="11"/>
      <c r="B412" s="356" t="s">
        <v>256</v>
      </c>
      <c r="C412" s="33">
        <v>30</v>
      </c>
      <c r="D412" s="35">
        <v>46</v>
      </c>
      <c r="E412" s="35">
        <v>30</v>
      </c>
      <c r="F412" s="33">
        <v>2.13</v>
      </c>
      <c r="G412" s="33">
        <v>0.08</v>
      </c>
      <c r="H412" s="33">
        <v>2.14</v>
      </c>
      <c r="I412" s="33">
        <v>15</v>
      </c>
      <c r="J412" s="33">
        <v>0.2</v>
      </c>
      <c r="K412" s="309" t="e">
        <f>SUM(#REF!+#REF!+#REF!+#REF!+#REF!+K424+#REF!+#REF!)</f>
        <v>#REF!</v>
      </c>
      <c r="L412" s="309" t="e">
        <f>SUM(#REF!+#REF!+#REF!+#REF!+#REF!+L424+#REF!+#REF!)</f>
        <v>#REF!</v>
      </c>
      <c r="M412" s="309"/>
      <c r="N412" s="309"/>
      <c r="O412" s="309"/>
      <c r="P412" s="309"/>
      <c r="Q412" s="309"/>
      <c r="R412" s="309"/>
      <c r="S412" s="309"/>
      <c r="T412" s="309"/>
      <c r="U412" s="60">
        <v>117.97</v>
      </c>
      <c r="V412" s="34">
        <f>D412*U412/1000</f>
        <v>5.42662</v>
      </c>
    </row>
    <row r="413" spans="1:22" s="11" customFormat="1" ht="31.5">
      <c r="A413" s="75"/>
      <c r="B413" s="134" t="s">
        <v>138</v>
      </c>
      <c r="C413" s="336" t="s">
        <v>144</v>
      </c>
      <c r="D413" s="128"/>
      <c r="E413" s="129"/>
      <c r="F413" s="67">
        <v>3.9</v>
      </c>
      <c r="G413" s="67">
        <v>4.92</v>
      </c>
      <c r="H413" s="97">
        <v>10.93</v>
      </c>
      <c r="I413" s="107">
        <v>248</v>
      </c>
      <c r="J413" s="107">
        <v>1</v>
      </c>
      <c r="K413" s="33"/>
      <c r="L413" s="33"/>
      <c r="M413" s="34">
        <v>1.5</v>
      </c>
      <c r="N413" s="31">
        <v>0.06</v>
      </c>
      <c r="O413" s="34">
        <v>0</v>
      </c>
      <c r="P413" s="33">
        <v>0.09</v>
      </c>
      <c r="Q413" s="38">
        <v>10.5</v>
      </c>
      <c r="R413" s="38">
        <v>49.35</v>
      </c>
      <c r="S413" s="33">
        <v>10.3</v>
      </c>
      <c r="T413" s="33">
        <v>0.2</v>
      </c>
      <c r="U413" s="350"/>
      <c r="V413" s="34">
        <f>SUM(V414:V429)</f>
        <v>23.486089999999997</v>
      </c>
    </row>
    <row r="414" spans="1:22" s="12" customFormat="1" ht="15.75">
      <c r="A414" s="28"/>
      <c r="B414" s="148" t="s">
        <v>35</v>
      </c>
      <c r="C414" s="61"/>
      <c r="D414" s="118">
        <v>32</v>
      </c>
      <c r="E414" s="61">
        <v>32</v>
      </c>
      <c r="F414" s="64"/>
      <c r="G414" s="64"/>
      <c r="H414" s="64"/>
      <c r="I414" s="64"/>
      <c r="J414" s="64"/>
      <c r="K414" s="67"/>
      <c r="L414" s="67"/>
      <c r="M414" s="97">
        <v>10.68</v>
      </c>
      <c r="N414" s="67">
        <v>0.05</v>
      </c>
      <c r="O414" s="67">
        <v>0</v>
      </c>
      <c r="P414" s="67">
        <v>2.4</v>
      </c>
      <c r="Q414" s="67">
        <v>63.7</v>
      </c>
      <c r="R414" s="107">
        <v>54.6</v>
      </c>
      <c r="S414" s="67">
        <v>26.13</v>
      </c>
      <c r="T414" s="67">
        <v>1.2</v>
      </c>
      <c r="U414" s="419">
        <v>440</v>
      </c>
      <c r="V414" s="60">
        <f>D414*U414/1000</f>
        <v>14.08</v>
      </c>
    </row>
    <row r="415" spans="1:22" s="2" customFormat="1" ht="15.75">
      <c r="A415" s="28"/>
      <c r="B415" s="124" t="s">
        <v>5</v>
      </c>
      <c r="C415" s="61"/>
      <c r="D415" s="118">
        <v>50</v>
      </c>
      <c r="E415" s="61">
        <v>40</v>
      </c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111"/>
      <c r="S415" s="64"/>
      <c r="T415" s="64"/>
      <c r="U415" s="419">
        <v>82.5</v>
      </c>
      <c r="V415" s="60">
        <f aca="true" t="shared" si="32" ref="V415:V429">D415*U415/1000</f>
        <v>4.125</v>
      </c>
    </row>
    <row r="416" spans="1:22" s="2" customFormat="1" ht="15.75">
      <c r="A416" s="28"/>
      <c r="B416" s="124" t="s">
        <v>104</v>
      </c>
      <c r="C416" s="61"/>
      <c r="D416" s="118">
        <v>52</v>
      </c>
      <c r="E416" s="61">
        <v>40</v>
      </c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111"/>
      <c r="S416" s="64"/>
      <c r="T416" s="64"/>
      <c r="U416" s="419"/>
      <c r="V416" s="60">
        <f t="shared" si="32"/>
        <v>0</v>
      </c>
    </row>
    <row r="417" spans="1:22" s="2" customFormat="1" ht="15.75">
      <c r="A417" s="28"/>
      <c r="B417" s="124" t="s">
        <v>40</v>
      </c>
      <c r="C417" s="61"/>
      <c r="D417" s="118">
        <v>25</v>
      </c>
      <c r="E417" s="61">
        <v>20</v>
      </c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111"/>
      <c r="S417" s="64"/>
      <c r="T417" s="64"/>
      <c r="U417" s="419">
        <v>39.19</v>
      </c>
      <c r="V417" s="60">
        <f t="shared" si="32"/>
        <v>0.97975</v>
      </c>
    </row>
    <row r="418" spans="1:22" s="2" customFormat="1" ht="15.75">
      <c r="A418" s="28"/>
      <c r="B418" s="124" t="s">
        <v>82</v>
      </c>
      <c r="C418" s="61"/>
      <c r="D418" s="118">
        <v>33</v>
      </c>
      <c r="E418" s="61">
        <v>25</v>
      </c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111"/>
      <c r="S418" s="64"/>
      <c r="T418" s="64"/>
      <c r="U418" s="419"/>
      <c r="V418" s="60">
        <f t="shared" si="32"/>
        <v>0</v>
      </c>
    </row>
    <row r="419" spans="1:22" s="2" customFormat="1" ht="15.75">
      <c r="A419" s="28"/>
      <c r="B419" s="124" t="s">
        <v>130</v>
      </c>
      <c r="C419" s="61"/>
      <c r="D419" s="118">
        <v>36</v>
      </c>
      <c r="E419" s="61">
        <v>25</v>
      </c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111"/>
      <c r="S419" s="64"/>
      <c r="T419" s="64"/>
      <c r="U419" s="419"/>
      <c r="V419" s="60">
        <f t="shared" si="32"/>
        <v>0</v>
      </c>
    </row>
    <row r="420" spans="1:22" s="2" customFormat="1" ht="15.75">
      <c r="A420" s="28"/>
      <c r="B420" s="329" t="s">
        <v>131</v>
      </c>
      <c r="C420" s="61"/>
      <c r="D420" s="118">
        <v>38</v>
      </c>
      <c r="E420" s="61">
        <v>25</v>
      </c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111"/>
      <c r="S420" s="64"/>
      <c r="T420" s="64"/>
      <c r="U420" s="419"/>
      <c r="V420" s="60">
        <f t="shared" si="32"/>
        <v>0</v>
      </c>
    </row>
    <row r="421" spans="1:22" s="2" customFormat="1" ht="15.75">
      <c r="A421" s="28"/>
      <c r="B421" s="124" t="s">
        <v>132</v>
      </c>
      <c r="C421" s="61"/>
      <c r="D421" s="118">
        <v>41</v>
      </c>
      <c r="E421" s="61">
        <v>25</v>
      </c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111"/>
      <c r="S421" s="64"/>
      <c r="T421" s="64"/>
      <c r="U421" s="419"/>
      <c r="V421" s="60">
        <f t="shared" si="32"/>
        <v>0</v>
      </c>
    </row>
    <row r="422" spans="1:22" s="2" customFormat="1" ht="15.75">
      <c r="A422" s="28"/>
      <c r="B422" s="124" t="s">
        <v>133</v>
      </c>
      <c r="C422" s="61"/>
      <c r="D422" s="118">
        <v>15.75</v>
      </c>
      <c r="E422" s="61">
        <v>12.5</v>
      </c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111"/>
      <c r="S422" s="64"/>
      <c r="T422" s="64"/>
      <c r="U422" s="419">
        <v>81.72</v>
      </c>
      <c r="V422" s="60">
        <f t="shared" si="32"/>
        <v>1.2870899999999998</v>
      </c>
    </row>
    <row r="423" spans="1:22" s="2" customFormat="1" ht="15.75">
      <c r="A423" s="28"/>
      <c r="B423" s="124" t="s">
        <v>104</v>
      </c>
      <c r="C423" s="61"/>
      <c r="D423" s="118">
        <v>17</v>
      </c>
      <c r="E423" s="61">
        <v>12.5</v>
      </c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111"/>
      <c r="S423" s="64"/>
      <c r="T423" s="64"/>
      <c r="U423" s="419"/>
      <c r="V423" s="60">
        <f t="shared" si="32"/>
        <v>0</v>
      </c>
    </row>
    <row r="424" spans="1:22" s="2" customFormat="1" ht="15.75">
      <c r="A424" s="28"/>
      <c r="B424" s="124" t="s">
        <v>55</v>
      </c>
      <c r="C424" s="61"/>
      <c r="D424" s="118">
        <v>12</v>
      </c>
      <c r="E424" s="61">
        <v>10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111"/>
      <c r="S424" s="64"/>
      <c r="T424" s="64"/>
      <c r="U424" s="419">
        <v>32.75</v>
      </c>
      <c r="V424" s="60">
        <f t="shared" si="32"/>
        <v>0.393</v>
      </c>
    </row>
    <row r="425" spans="1:22" s="2" customFormat="1" ht="15.75">
      <c r="A425" s="28"/>
      <c r="B425" s="148" t="s">
        <v>250</v>
      </c>
      <c r="C425" s="61"/>
      <c r="D425" s="118">
        <v>3</v>
      </c>
      <c r="E425" s="61">
        <v>3</v>
      </c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111"/>
      <c r="S425" s="64"/>
      <c r="T425" s="64"/>
      <c r="U425" s="419">
        <v>264</v>
      </c>
      <c r="V425" s="60">
        <f t="shared" si="32"/>
        <v>0.792</v>
      </c>
    </row>
    <row r="426" spans="1:22" s="2" customFormat="1" ht="15.75">
      <c r="A426" s="28"/>
      <c r="B426" s="124" t="s">
        <v>57</v>
      </c>
      <c r="C426" s="61"/>
      <c r="D426" s="118">
        <v>5</v>
      </c>
      <c r="E426" s="61">
        <v>5</v>
      </c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111"/>
      <c r="S426" s="64"/>
      <c r="T426" s="64"/>
      <c r="U426" s="419">
        <v>125.7</v>
      </c>
      <c r="V426" s="60">
        <f t="shared" si="32"/>
        <v>0.6285</v>
      </c>
    </row>
    <row r="427" spans="1:22" s="2" customFormat="1" ht="15.75">
      <c r="A427" s="28"/>
      <c r="B427" s="124" t="s">
        <v>90</v>
      </c>
      <c r="C427" s="61"/>
      <c r="D427" s="118">
        <v>5</v>
      </c>
      <c r="E427" s="61">
        <v>5</v>
      </c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111"/>
      <c r="S427" s="64"/>
      <c r="T427" s="64"/>
      <c r="U427" s="419">
        <v>237.77</v>
      </c>
      <c r="V427" s="60">
        <f t="shared" si="32"/>
        <v>1.1888500000000002</v>
      </c>
    </row>
    <row r="428" spans="1:22" s="2" customFormat="1" ht="15.75">
      <c r="A428" s="28"/>
      <c r="B428" s="124" t="s">
        <v>135</v>
      </c>
      <c r="C428" s="61"/>
      <c r="D428" s="118">
        <v>190</v>
      </c>
      <c r="E428" s="61">
        <v>190</v>
      </c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111"/>
      <c r="S428" s="64"/>
      <c r="T428" s="64"/>
      <c r="U428" s="419"/>
      <c r="V428" s="60">
        <f t="shared" si="32"/>
        <v>0</v>
      </c>
    </row>
    <row r="429" spans="1:22" s="2" customFormat="1" ht="15.75">
      <c r="A429" s="28"/>
      <c r="B429" s="124" t="s">
        <v>97</v>
      </c>
      <c r="C429" s="61"/>
      <c r="D429" s="118">
        <v>1</v>
      </c>
      <c r="E429" s="61">
        <v>1</v>
      </c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111"/>
      <c r="S429" s="64"/>
      <c r="T429" s="64"/>
      <c r="U429" s="419">
        <v>11.9</v>
      </c>
      <c r="V429" s="60">
        <f t="shared" si="32"/>
        <v>0.0119</v>
      </c>
    </row>
    <row r="430" spans="1:22" s="2" customFormat="1" ht="15.75">
      <c r="A430" s="70"/>
      <c r="B430" s="133" t="s">
        <v>264</v>
      </c>
      <c r="C430" s="40">
        <v>100</v>
      </c>
      <c r="D430" s="69"/>
      <c r="E430" s="69"/>
      <c r="F430" s="40">
        <v>15.22</v>
      </c>
      <c r="G430" s="40">
        <v>11.3</v>
      </c>
      <c r="H430" s="40">
        <v>8.78</v>
      </c>
      <c r="I430" s="40">
        <v>178</v>
      </c>
      <c r="J430" s="40">
        <v>0.9</v>
      </c>
      <c r="K430" s="64"/>
      <c r="L430" s="64"/>
      <c r="M430" s="64"/>
      <c r="N430" s="64"/>
      <c r="O430" s="64"/>
      <c r="P430" s="64"/>
      <c r="Q430" s="64"/>
      <c r="R430" s="111"/>
      <c r="S430" s="64"/>
      <c r="T430" s="64"/>
      <c r="U430" s="60"/>
      <c r="V430" s="34">
        <f>SUM(V431:V432)</f>
        <v>55.130900000000004</v>
      </c>
    </row>
    <row r="431" spans="1:22" s="70" customFormat="1" ht="15.75">
      <c r="A431" s="6"/>
      <c r="B431" s="154" t="s">
        <v>37</v>
      </c>
      <c r="C431" s="40"/>
      <c r="D431" s="69">
        <v>108</v>
      </c>
      <c r="E431" s="69">
        <v>108</v>
      </c>
      <c r="F431" s="71"/>
      <c r="G431" s="71"/>
      <c r="H431" s="71"/>
      <c r="I431" s="71"/>
      <c r="J431" s="71"/>
      <c r="K431" s="40"/>
      <c r="L431" s="40"/>
      <c r="M431" s="40">
        <v>4.2</v>
      </c>
      <c r="N431" s="40">
        <v>0.13</v>
      </c>
      <c r="O431" s="40">
        <v>0.04</v>
      </c>
      <c r="P431" s="40">
        <v>5.72</v>
      </c>
      <c r="Q431" s="40">
        <v>139.2</v>
      </c>
      <c r="R431" s="40">
        <v>222.4</v>
      </c>
      <c r="S431" s="40">
        <v>26.79</v>
      </c>
      <c r="T431" s="40">
        <v>3.4</v>
      </c>
      <c r="U431" s="60">
        <v>450</v>
      </c>
      <c r="V431" s="60">
        <f>D431*U431/1000</f>
        <v>48.6</v>
      </c>
    </row>
    <row r="432" spans="2:22" s="6" customFormat="1" ht="15.75">
      <c r="B432" s="154" t="s">
        <v>58</v>
      </c>
      <c r="C432" s="40"/>
      <c r="D432" s="69">
        <v>10</v>
      </c>
      <c r="E432" s="69">
        <v>10</v>
      </c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60">
        <v>653.09</v>
      </c>
      <c r="V432" s="60">
        <f>D432*U432/1000</f>
        <v>6.530900000000001</v>
      </c>
    </row>
    <row r="433" spans="1:22" s="6" customFormat="1" ht="15.75">
      <c r="A433" s="14"/>
      <c r="B433" s="125" t="s">
        <v>224</v>
      </c>
      <c r="C433" s="33">
        <v>180</v>
      </c>
      <c r="D433" s="33"/>
      <c r="E433" s="33"/>
      <c r="F433" s="33">
        <v>4.3</v>
      </c>
      <c r="G433" s="33">
        <v>5.2</v>
      </c>
      <c r="H433" s="33">
        <v>45.7</v>
      </c>
      <c r="I433" s="33">
        <v>239</v>
      </c>
      <c r="J433" s="33">
        <v>4.5</v>
      </c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34"/>
      <c r="V433" s="34">
        <f>SUM(V434:V437)</f>
        <v>8.810000000000002</v>
      </c>
    </row>
    <row r="434" spans="1:206" s="14" customFormat="1" ht="15.75">
      <c r="A434" s="45"/>
      <c r="B434" s="169" t="s">
        <v>95</v>
      </c>
      <c r="C434" s="33"/>
      <c r="D434" s="35">
        <v>63</v>
      </c>
      <c r="E434" s="35">
        <v>63</v>
      </c>
      <c r="F434" s="36"/>
      <c r="G434" s="36"/>
      <c r="H434" s="36"/>
      <c r="I434" s="36"/>
      <c r="J434" s="36"/>
      <c r="K434" s="33"/>
      <c r="L434" s="33"/>
      <c r="M434" s="30">
        <v>0</v>
      </c>
      <c r="N434" s="33">
        <v>0.02</v>
      </c>
      <c r="O434" s="33">
        <v>0</v>
      </c>
      <c r="P434" s="33">
        <v>0.36</v>
      </c>
      <c r="Q434" s="30">
        <v>141</v>
      </c>
      <c r="R434" s="33">
        <v>402</v>
      </c>
      <c r="S434" s="33">
        <v>86</v>
      </c>
      <c r="T434" s="33">
        <v>4.9</v>
      </c>
      <c r="U434" s="60">
        <v>77.51</v>
      </c>
      <c r="V434" s="60">
        <f>D434*U434/1000</f>
        <v>4.88313</v>
      </c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</row>
    <row r="435" spans="2:206" s="45" customFormat="1" ht="15.75">
      <c r="B435" s="169" t="s">
        <v>54</v>
      </c>
      <c r="C435" s="33"/>
      <c r="D435" s="35">
        <v>132</v>
      </c>
      <c r="E435" s="35">
        <v>132</v>
      </c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60"/>
      <c r="V435" s="60">
        <f>D435*U435/1000</f>
        <v>0</v>
      </c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</row>
    <row r="436" spans="2:206" s="45" customFormat="1" ht="15.75">
      <c r="B436" s="169" t="s">
        <v>58</v>
      </c>
      <c r="C436" s="33"/>
      <c r="D436" s="35">
        <v>6</v>
      </c>
      <c r="E436" s="35">
        <v>6</v>
      </c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60">
        <v>653.09</v>
      </c>
      <c r="V436" s="60">
        <f>D436*U436/1000</f>
        <v>3.91854</v>
      </c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</row>
    <row r="437" spans="2:206" s="45" customFormat="1" ht="15.75">
      <c r="B437" s="140" t="s">
        <v>15</v>
      </c>
      <c r="C437" s="33"/>
      <c r="D437" s="35">
        <v>0.7</v>
      </c>
      <c r="E437" s="35">
        <v>0.7</v>
      </c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60">
        <v>11.9</v>
      </c>
      <c r="V437" s="60">
        <f>D437*U437/1000</f>
        <v>0.00833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</row>
    <row r="438" spans="1:206" s="45" customFormat="1" ht="47.25">
      <c r="A438" s="43"/>
      <c r="B438" s="122" t="s">
        <v>114</v>
      </c>
      <c r="C438" s="33">
        <v>140</v>
      </c>
      <c r="D438" s="33"/>
      <c r="E438" s="33"/>
      <c r="F438" s="33">
        <v>0.26</v>
      </c>
      <c r="G438" s="34">
        <v>0.17</v>
      </c>
      <c r="H438" s="33">
        <v>13.81</v>
      </c>
      <c r="I438" s="33">
        <v>52</v>
      </c>
      <c r="J438" s="33">
        <v>1.4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60">
        <v>213.43</v>
      </c>
      <c r="V438" s="34">
        <f>C438*U438/1000</f>
        <v>29.880200000000002</v>
      </c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</row>
    <row r="439" spans="1:22" s="43" customFormat="1" ht="15.75">
      <c r="A439" s="26"/>
      <c r="B439" s="147" t="s">
        <v>252</v>
      </c>
      <c r="C439" s="33">
        <v>200</v>
      </c>
      <c r="D439" s="33"/>
      <c r="E439" s="33"/>
      <c r="F439" s="33">
        <v>0.35</v>
      </c>
      <c r="G439" s="33">
        <v>0.11</v>
      </c>
      <c r="H439" s="33">
        <v>14</v>
      </c>
      <c r="I439" s="33">
        <v>99</v>
      </c>
      <c r="J439" s="33">
        <v>1.4</v>
      </c>
      <c r="K439" s="40"/>
      <c r="L439" s="40"/>
      <c r="M439" s="41">
        <v>16</v>
      </c>
      <c r="N439" s="40">
        <v>0.02</v>
      </c>
      <c r="O439" s="87">
        <v>0</v>
      </c>
      <c r="P439" s="40">
        <v>0.17</v>
      </c>
      <c r="Q439" s="74">
        <v>2.97</v>
      </c>
      <c r="R439" s="74">
        <v>9.6</v>
      </c>
      <c r="S439" s="41">
        <v>2.08</v>
      </c>
      <c r="T439" s="40">
        <v>0.16</v>
      </c>
      <c r="U439" s="34"/>
      <c r="V439" s="34">
        <f>SUM(V440:V442)</f>
        <v>7.7253</v>
      </c>
    </row>
    <row r="440" spans="1:206" s="26" customFormat="1" ht="15.75">
      <c r="A440" s="45"/>
      <c r="B440" s="140" t="s">
        <v>225</v>
      </c>
      <c r="C440" s="33"/>
      <c r="D440" s="35">
        <v>25</v>
      </c>
      <c r="E440" s="35">
        <v>25</v>
      </c>
      <c r="F440" s="36"/>
      <c r="G440" s="36"/>
      <c r="H440" s="36"/>
      <c r="I440" s="36"/>
      <c r="J440" s="36"/>
      <c r="K440" s="33"/>
      <c r="L440" s="34"/>
      <c r="M440" s="30">
        <v>0.45</v>
      </c>
      <c r="N440" s="33">
        <v>0.004</v>
      </c>
      <c r="O440" s="31">
        <v>0</v>
      </c>
      <c r="P440" s="34">
        <v>1.6</v>
      </c>
      <c r="Q440" s="30">
        <v>20.32</v>
      </c>
      <c r="R440" s="33">
        <v>12.46</v>
      </c>
      <c r="S440" s="33">
        <v>20.3</v>
      </c>
      <c r="T440" s="33">
        <v>0.45</v>
      </c>
      <c r="U440" s="60">
        <v>304</v>
      </c>
      <c r="V440" s="60">
        <f>D440*U440/1000</f>
        <v>7.6</v>
      </c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</row>
    <row r="441" spans="2:206" s="45" customFormat="1" ht="15.75">
      <c r="B441" s="140" t="s">
        <v>226</v>
      </c>
      <c r="C441" s="33"/>
      <c r="D441" s="35">
        <v>203</v>
      </c>
      <c r="E441" s="35">
        <v>203</v>
      </c>
      <c r="F441" s="36"/>
      <c r="G441" s="36"/>
      <c r="H441" s="36"/>
      <c r="I441" s="36"/>
      <c r="J441" s="36"/>
      <c r="K441" s="35"/>
      <c r="L441" s="60"/>
      <c r="M441" s="36"/>
      <c r="N441" s="36"/>
      <c r="O441" s="36"/>
      <c r="P441" s="36"/>
      <c r="Q441" s="36"/>
      <c r="R441" s="36"/>
      <c r="S441" s="36"/>
      <c r="T441" s="36"/>
      <c r="U441" s="60"/>
      <c r="V441" s="60">
        <f>D441*U441/1000</f>
        <v>0</v>
      </c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</row>
    <row r="442" spans="1:206" s="45" customFormat="1" ht="15.75">
      <c r="A442" s="338"/>
      <c r="B442" s="339" t="s">
        <v>111</v>
      </c>
      <c r="C442" s="340"/>
      <c r="D442" s="341">
        <v>0.07</v>
      </c>
      <c r="E442" s="35">
        <v>0.07</v>
      </c>
      <c r="F442" s="342"/>
      <c r="G442" s="36"/>
      <c r="H442" s="36"/>
      <c r="I442" s="36"/>
      <c r="J442" s="36"/>
      <c r="K442" s="35"/>
      <c r="L442" s="60"/>
      <c r="M442" s="36"/>
      <c r="N442" s="36"/>
      <c r="O442" s="36"/>
      <c r="P442" s="36"/>
      <c r="Q442" s="36"/>
      <c r="R442" s="36"/>
      <c r="S442" s="36"/>
      <c r="T442" s="36"/>
      <c r="U442" s="60">
        <v>1790</v>
      </c>
      <c r="V442" s="60">
        <f>D442*U442/1000</f>
        <v>0.12530000000000002</v>
      </c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</row>
    <row r="443" spans="1:206" s="45" customFormat="1" ht="15.75">
      <c r="A443" s="70"/>
      <c r="B443" s="123" t="s">
        <v>53</v>
      </c>
      <c r="C443" s="40">
        <v>40</v>
      </c>
      <c r="D443" s="69"/>
      <c r="E443" s="69"/>
      <c r="F443" s="40">
        <v>2.8</v>
      </c>
      <c r="G443" s="40">
        <v>0.48</v>
      </c>
      <c r="H443" s="40">
        <v>15.6</v>
      </c>
      <c r="I443" s="87">
        <v>80</v>
      </c>
      <c r="J443" s="74">
        <v>1.5</v>
      </c>
      <c r="K443" s="35"/>
      <c r="L443" s="60"/>
      <c r="M443" s="36"/>
      <c r="N443" s="343"/>
      <c r="O443" s="36"/>
      <c r="P443" s="36"/>
      <c r="Q443" s="36"/>
      <c r="R443" s="36"/>
      <c r="S443" s="343"/>
      <c r="T443" s="36"/>
      <c r="U443" s="60">
        <v>50.08</v>
      </c>
      <c r="V443" s="34">
        <f>C443*U443/1000</f>
        <v>2.0031999999999996</v>
      </c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</row>
    <row r="444" spans="1:22" s="70" customFormat="1" ht="31.5">
      <c r="A444" s="276" t="s">
        <v>198</v>
      </c>
      <c r="B444" s="317"/>
      <c r="C444" s="277">
        <v>895</v>
      </c>
      <c r="D444" s="277"/>
      <c r="E444" s="278"/>
      <c r="F444" s="413">
        <f aca="true" t="shared" si="33" ref="F444:T444">F412+F413+F430+F433+F438+F439+F443</f>
        <v>28.960000000000004</v>
      </c>
      <c r="G444" s="413">
        <f t="shared" si="33"/>
        <v>22.26</v>
      </c>
      <c r="H444" s="413">
        <f t="shared" si="33"/>
        <v>110.96000000000001</v>
      </c>
      <c r="I444" s="413">
        <f t="shared" si="33"/>
        <v>911</v>
      </c>
      <c r="J444" s="413">
        <f t="shared" si="33"/>
        <v>10.9</v>
      </c>
      <c r="K444" s="413" t="e">
        <f t="shared" si="33"/>
        <v>#REF!</v>
      </c>
      <c r="L444" s="413" t="e">
        <f t="shared" si="33"/>
        <v>#REF!</v>
      </c>
      <c r="M444" s="413">
        <f t="shared" si="33"/>
        <v>17.5</v>
      </c>
      <c r="N444" s="413">
        <f t="shared" si="33"/>
        <v>0.08</v>
      </c>
      <c r="O444" s="413">
        <f t="shared" si="33"/>
        <v>0</v>
      </c>
      <c r="P444" s="413">
        <f t="shared" si="33"/>
        <v>0.26</v>
      </c>
      <c r="Q444" s="413">
        <f t="shared" si="33"/>
        <v>13.47</v>
      </c>
      <c r="R444" s="413">
        <f t="shared" si="33"/>
        <v>58.95</v>
      </c>
      <c r="S444" s="413">
        <f t="shared" si="33"/>
        <v>12.38</v>
      </c>
      <c r="T444" s="413">
        <f t="shared" si="33"/>
        <v>0.36</v>
      </c>
      <c r="U444" s="413"/>
      <c r="V444" s="413">
        <f>V412+V413+V430+V433+V438+V439+V443</f>
        <v>132.46231</v>
      </c>
    </row>
    <row r="445" spans="1:22" s="7" customFormat="1" ht="31.5">
      <c r="A445" s="280" t="s">
        <v>199</v>
      </c>
      <c r="B445" s="318"/>
      <c r="C445" s="281" t="s">
        <v>200</v>
      </c>
      <c r="D445" s="282"/>
      <c r="E445" s="282"/>
      <c r="F445" s="414">
        <f aca="true" t="shared" si="34" ref="F445:T445">F410+F444</f>
        <v>53.77</v>
      </c>
      <c r="G445" s="414">
        <f t="shared" si="34"/>
        <v>47.400000000000006</v>
      </c>
      <c r="H445" s="414">
        <f t="shared" si="34"/>
        <v>165.36</v>
      </c>
      <c r="I445" s="414">
        <f t="shared" si="34"/>
        <v>1515</v>
      </c>
      <c r="J445" s="414">
        <f t="shared" si="34"/>
        <v>16.2</v>
      </c>
      <c r="K445" s="414" t="e">
        <f t="shared" si="34"/>
        <v>#REF!</v>
      </c>
      <c r="L445" s="414" t="e">
        <f t="shared" si="34"/>
        <v>#REF!</v>
      </c>
      <c r="M445" s="414">
        <f t="shared" si="34"/>
        <v>17.5</v>
      </c>
      <c r="N445" s="414">
        <f t="shared" si="34"/>
        <v>0.12</v>
      </c>
      <c r="O445" s="414">
        <f t="shared" si="34"/>
        <v>0</v>
      </c>
      <c r="P445" s="414">
        <f t="shared" si="34"/>
        <v>0.54</v>
      </c>
      <c r="Q445" s="414">
        <f t="shared" si="34"/>
        <v>19.27</v>
      </c>
      <c r="R445" s="414">
        <f t="shared" si="34"/>
        <v>88.95</v>
      </c>
      <c r="S445" s="414">
        <f t="shared" si="34"/>
        <v>21.78</v>
      </c>
      <c r="T445" s="414">
        <f t="shared" si="34"/>
        <v>1.1400000000000001</v>
      </c>
      <c r="U445" s="414"/>
      <c r="V445" s="414">
        <f>V410+V444</f>
        <v>178.57723</v>
      </c>
    </row>
    <row r="446" spans="1:22" s="10" customFormat="1" ht="15.75">
      <c r="A446" s="258" t="s">
        <v>216</v>
      </c>
      <c r="B446" s="259"/>
      <c r="C446" s="260"/>
      <c r="D446" s="261"/>
      <c r="E446" s="258"/>
      <c r="F446" s="262"/>
      <c r="G446" s="263"/>
      <c r="H446" s="263"/>
      <c r="I446" s="263"/>
      <c r="J446" s="263"/>
      <c r="K446" s="283" t="e">
        <f>SUM(K411+K445)</f>
        <v>#REF!</v>
      </c>
      <c r="L446" s="283" t="e">
        <f>SUM(L411+L445)</f>
        <v>#REF!</v>
      </c>
      <c r="M446" s="283" t="e">
        <f>SUM(M411+M445)</f>
        <v>#REF!</v>
      </c>
      <c r="N446" s="283" t="e">
        <f>SUM(N411+N445)</f>
        <v>#REF!</v>
      </c>
      <c r="O446" s="284" t="e">
        <f>SUM(O411+O445)</f>
        <v>#REF!</v>
      </c>
      <c r="P446" s="283" t="e">
        <f>SUM(P411+P445)</f>
        <v>#REF!</v>
      </c>
      <c r="Q446" s="283" t="e">
        <f>SUM(Q411+Q445)</f>
        <v>#REF!</v>
      </c>
      <c r="R446" s="283" t="e">
        <f>SUM(R411+R445)</f>
        <v>#REF!</v>
      </c>
      <c r="S446" s="284" t="e">
        <f>SUM(S411+S445)</f>
        <v>#REF!</v>
      </c>
      <c r="T446" s="283" t="e">
        <f>SUM(T411+T445)</f>
        <v>#REF!</v>
      </c>
      <c r="U446" s="208"/>
      <c r="V446" s="363"/>
    </row>
    <row r="447" spans="1:22" s="6" customFormat="1" ht="15.75">
      <c r="A447" s="264" t="s">
        <v>52</v>
      </c>
      <c r="B447" s="308"/>
      <c r="C447" s="264"/>
      <c r="D447" s="265"/>
      <c r="E447" s="266"/>
      <c r="F447" s="267"/>
      <c r="G447" s="267"/>
      <c r="H447" s="267"/>
      <c r="I447" s="267"/>
      <c r="J447" s="267"/>
      <c r="K447" s="302"/>
      <c r="L447" s="303"/>
      <c r="M447" s="306"/>
      <c r="N447" s="306"/>
      <c r="O447" s="306"/>
      <c r="P447" s="306"/>
      <c r="Q447" s="306"/>
      <c r="R447" s="306"/>
      <c r="S447" s="306"/>
      <c r="T447" s="307"/>
      <c r="U447" s="208"/>
      <c r="V447" s="363"/>
    </row>
    <row r="448" spans="1:22" s="10" customFormat="1" ht="15.75">
      <c r="A448" s="43"/>
      <c r="B448" s="201" t="s">
        <v>118</v>
      </c>
      <c r="C448" s="40">
        <v>20</v>
      </c>
      <c r="D448" s="40"/>
      <c r="E448" s="40"/>
      <c r="F448" s="40">
        <v>4.64</v>
      </c>
      <c r="G448" s="40">
        <v>5.84</v>
      </c>
      <c r="H448" s="41">
        <v>0</v>
      </c>
      <c r="I448" s="40">
        <v>73</v>
      </c>
      <c r="J448" s="40">
        <v>0</v>
      </c>
      <c r="K448" s="309"/>
      <c r="L448" s="309" t="e">
        <f>SUM(#REF!+#REF!+#REF!+#REF!+#REF!+#REF!)</f>
        <v>#REF!</v>
      </c>
      <c r="M448" s="309"/>
      <c r="N448" s="309"/>
      <c r="O448" s="309"/>
      <c r="P448" s="309"/>
      <c r="Q448" s="309"/>
      <c r="R448" s="309"/>
      <c r="S448" s="309"/>
      <c r="T448" s="309"/>
      <c r="U448" s="34"/>
      <c r="V448" s="34">
        <f>V449</f>
        <v>15.4</v>
      </c>
    </row>
    <row r="449" spans="1:22" s="43" customFormat="1" ht="15.75">
      <c r="A449" s="28"/>
      <c r="B449" s="140" t="s">
        <v>39</v>
      </c>
      <c r="C449" s="35"/>
      <c r="D449" s="35">
        <v>22</v>
      </c>
      <c r="E449" s="35">
        <v>20</v>
      </c>
      <c r="F449" s="35"/>
      <c r="G449" s="35"/>
      <c r="H449" s="60"/>
      <c r="I449" s="35"/>
      <c r="J449" s="35"/>
      <c r="K449" s="40"/>
      <c r="L449" s="41"/>
      <c r="M449" s="42">
        <v>0.14</v>
      </c>
      <c r="N449" s="74">
        <v>0.004</v>
      </c>
      <c r="O449" s="107">
        <v>58</v>
      </c>
      <c r="P449" s="40">
        <v>0.1</v>
      </c>
      <c r="Q449" s="97">
        <v>176</v>
      </c>
      <c r="R449" s="87">
        <v>100</v>
      </c>
      <c r="S449" s="40">
        <v>0.7</v>
      </c>
      <c r="T449" s="41">
        <v>0.2</v>
      </c>
      <c r="U449" s="60">
        <v>700</v>
      </c>
      <c r="V449" s="60">
        <f>D449*U449/1000</f>
        <v>15.4</v>
      </c>
    </row>
    <row r="450" spans="1:22" s="11" customFormat="1" ht="31.5">
      <c r="A450" s="43"/>
      <c r="B450" s="119" t="s">
        <v>38</v>
      </c>
      <c r="C450" s="33">
        <v>200</v>
      </c>
      <c r="D450" s="33"/>
      <c r="E450" s="33"/>
      <c r="F450" s="33">
        <v>10.9</v>
      </c>
      <c r="G450" s="34">
        <v>14.6</v>
      </c>
      <c r="H450" s="33">
        <v>9.5</v>
      </c>
      <c r="I450" s="33">
        <v>284</v>
      </c>
      <c r="J450" s="33">
        <v>0.9</v>
      </c>
      <c r="K450" s="35"/>
      <c r="L450" s="60"/>
      <c r="M450" s="61"/>
      <c r="N450" s="62"/>
      <c r="O450" s="111"/>
      <c r="P450" s="35"/>
      <c r="Q450" s="101"/>
      <c r="R450" s="121"/>
      <c r="S450" s="35"/>
      <c r="T450" s="60"/>
      <c r="U450" s="34"/>
      <c r="V450" s="34">
        <f>SUM(V451:V458)</f>
        <v>47.86145</v>
      </c>
    </row>
    <row r="451" spans="1:22" s="43" customFormat="1" ht="15.75">
      <c r="A451" s="12"/>
      <c r="B451" s="137" t="s">
        <v>89</v>
      </c>
      <c r="C451" s="54"/>
      <c r="D451" s="46">
        <v>110</v>
      </c>
      <c r="E451" s="50">
        <v>110</v>
      </c>
      <c r="F451" s="23"/>
      <c r="G451" s="51"/>
      <c r="H451" s="51"/>
      <c r="I451" s="51"/>
      <c r="J451" s="51"/>
      <c r="K451" s="33"/>
      <c r="L451" s="34"/>
      <c r="M451" s="34">
        <v>0.5</v>
      </c>
      <c r="N451" s="33">
        <v>0.1</v>
      </c>
      <c r="O451" s="79">
        <v>291.6</v>
      </c>
      <c r="P451" s="33">
        <v>1.7</v>
      </c>
      <c r="Q451" s="38">
        <v>99.8</v>
      </c>
      <c r="R451" s="79">
        <v>224.8</v>
      </c>
      <c r="S451" s="38">
        <v>17.1</v>
      </c>
      <c r="T451" s="33">
        <v>2.5</v>
      </c>
      <c r="U451" s="51">
        <v>248</v>
      </c>
      <c r="V451" s="60">
        <f>D451*U451/1000</f>
        <v>27.28</v>
      </c>
    </row>
    <row r="452" spans="2:22" s="12" customFormat="1" ht="15.75">
      <c r="B452" s="137" t="s">
        <v>86</v>
      </c>
      <c r="C452" s="54"/>
      <c r="D452" s="46">
        <v>42</v>
      </c>
      <c r="E452" s="50">
        <v>42</v>
      </c>
      <c r="F452" s="23"/>
      <c r="G452" s="51"/>
      <c r="H452" s="51"/>
      <c r="I452" s="51"/>
      <c r="J452" s="51"/>
      <c r="K452" s="51"/>
      <c r="L452" s="51"/>
      <c r="M452" s="51"/>
      <c r="N452" s="51"/>
      <c r="O452" s="105"/>
      <c r="P452" s="51"/>
      <c r="Q452" s="95"/>
      <c r="R452" s="105"/>
      <c r="S452" s="51"/>
      <c r="T452" s="51"/>
      <c r="U452" s="51">
        <v>55.18</v>
      </c>
      <c r="V452" s="60">
        <f aca="true" t="shared" si="35" ref="V452:V458">D452*U452/1000</f>
        <v>2.31756</v>
      </c>
    </row>
    <row r="453" spans="2:22" s="12" customFormat="1" ht="15.75">
      <c r="B453" s="137" t="s">
        <v>57</v>
      </c>
      <c r="C453" s="54"/>
      <c r="D453" s="46">
        <v>3</v>
      </c>
      <c r="E453" s="50">
        <v>3</v>
      </c>
      <c r="F453" s="23"/>
      <c r="G453" s="51"/>
      <c r="H453" s="51"/>
      <c r="I453" s="51"/>
      <c r="J453" s="51"/>
      <c r="K453" s="51"/>
      <c r="L453" s="51"/>
      <c r="M453" s="51"/>
      <c r="N453" s="51"/>
      <c r="O453" s="105"/>
      <c r="P453" s="51"/>
      <c r="Q453" s="95"/>
      <c r="R453" s="105"/>
      <c r="S453" s="51"/>
      <c r="T453" s="51"/>
      <c r="U453" s="51">
        <v>125.7</v>
      </c>
      <c r="V453" s="60">
        <f t="shared" si="35"/>
        <v>0.37710000000000005</v>
      </c>
    </row>
    <row r="454" spans="1:22" s="12" customFormat="1" ht="15.75">
      <c r="A454" s="59"/>
      <c r="B454" s="138" t="s">
        <v>26</v>
      </c>
      <c r="C454" s="114"/>
      <c r="D454" s="55"/>
      <c r="E454" s="56">
        <v>145</v>
      </c>
      <c r="F454" s="57"/>
      <c r="G454" s="58"/>
      <c r="H454" s="58"/>
      <c r="I454" s="58"/>
      <c r="J454" s="58"/>
      <c r="K454" s="51"/>
      <c r="L454" s="51"/>
      <c r="M454" s="51"/>
      <c r="N454" s="51"/>
      <c r="O454" s="105"/>
      <c r="P454" s="51"/>
      <c r="Q454" s="95"/>
      <c r="R454" s="105"/>
      <c r="S454" s="51"/>
      <c r="T454" s="51"/>
      <c r="U454" s="58"/>
      <c r="V454" s="60">
        <f t="shared" si="35"/>
        <v>0</v>
      </c>
    </row>
    <row r="455" spans="1:22" s="59" customFormat="1" ht="15.75">
      <c r="A455" s="12"/>
      <c r="B455" s="137" t="s">
        <v>58</v>
      </c>
      <c r="C455" s="54"/>
      <c r="D455" s="46">
        <v>5</v>
      </c>
      <c r="E455" s="50">
        <v>5</v>
      </c>
      <c r="F455" s="23"/>
      <c r="G455" s="51"/>
      <c r="H455" s="51"/>
      <c r="I455" s="51"/>
      <c r="J455" s="51"/>
      <c r="K455" s="58"/>
      <c r="L455" s="58"/>
      <c r="M455" s="58"/>
      <c r="N455" s="58"/>
      <c r="O455" s="115"/>
      <c r="P455" s="58"/>
      <c r="Q455" s="116"/>
      <c r="R455" s="115"/>
      <c r="S455" s="58"/>
      <c r="T455" s="58"/>
      <c r="U455" s="51">
        <v>653.09</v>
      </c>
      <c r="V455" s="60">
        <f t="shared" si="35"/>
        <v>3.2654500000000004</v>
      </c>
    </row>
    <row r="456" spans="2:22" s="12" customFormat="1" ht="15.75">
      <c r="B456" s="137" t="s">
        <v>14</v>
      </c>
      <c r="C456" s="54"/>
      <c r="D456" s="46">
        <v>0.6</v>
      </c>
      <c r="E456" s="50">
        <v>0.6</v>
      </c>
      <c r="F456" s="23"/>
      <c r="G456" s="51"/>
      <c r="H456" s="51"/>
      <c r="I456" s="51"/>
      <c r="J456" s="51"/>
      <c r="K456" s="51"/>
      <c r="L456" s="51"/>
      <c r="M456" s="51"/>
      <c r="N456" s="51"/>
      <c r="O456" s="105"/>
      <c r="P456" s="51"/>
      <c r="Q456" s="95"/>
      <c r="R456" s="105"/>
      <c r="S456" s="51"/>
      <c r="T456" s="51"/>
      <c r="U456" s="51">
        <v>11.9</v>
      </c>
      <c r="V456" s="60">
        <f t="shared" si="35"/>
        <v>0.00714</v>
      </c>
    </row>
    <row r="457" spans="1:22" s="12" customFormat="1" ht="15.75">
      <c r="A457" s="10"/>
      <c r="B457" s="139" t="s">
        <v>27</v>
      </c>
      <c r="C457" s="52"/>
      <c r="D457" s="15"/>
      <c r="E457" s="48">
        <v>50</v>
      </c>
      <c r="F457" s="18"/>
      <c r="G457" s="53"/>
      <c r="H457" s="53"/>
      <c r="I457" s="53"/>
      <c r="J457" s="53"/>
      <c r="K457" s="51"/>
      <c r="L457" s="51"/>
      <c r="M457" s="51"/>
      <c r="N457" s="51"/>
      <c r="O457" s="105"/>
      <c r="P457" s="51"/>
      <c r="Q457" s="95"/>
      <c r="R457" s="105"/>
      <c r="S457" s="51"/>
      <c r="T457" s="51"/>
      <c r="U457" s="53"/>
      <c r="V457" s="60">
        <f t="shared" si="35"/>
        <v>0</v>
      </c>
    </row>
    <row r="458" spans="1:22" s="10" customFormat="1" ht="15.75">
      <c r="A458" s="12"/>
      <c r="B458" s="137" t="s">
        <v>134</v>
      </c>
      <c r="C458" s="54"/>
      <c r="D458" s="46">
        <v>90</v>
      </c>
      <c r="E458" s="50">
        <v>50</v>
      </c>
      <c r="F458" s="23"/>
      <c r="G458" s="51"/>
      <c r="H458" s="51"/>
      <c r="I458" s="51"/>
      <c r="J458" s="51"/>
      <c r="K458" s="53"/>
      <c r="L458" s="53"/>
      <c r="M458" s="53"/>
      <c r="N458" s="53"/>
      <c r="O458" s="117"/>
      <c r="P458" s="53"/>
      <c r="Q458" s="103"/>
      <c r="R458" s="117"/>
      <c r="S458" s="53"/>
      <c r="T458" s="53"/>
      <c r="U458" s="51">
        <v>162.38</v>
      </c>
      <c r="V458" s="60">
        <f t="shared" si="35"/>
        <v>14.614199999999999</v>
      </c>
    </row>
    <row r="459" spans="1:22" s="12" customFormat="1" ht="15.75">
      <c r="A459" s="11"/>
      <c r="B459" s="147" t="s">
        <v>50</v>
      </c>
      <c r="C459" s="33">
        <v>125</v>
      </c>
      <c r="D459" s="33"/>
      <c r="E459" s="33"/>
      <c r="F459" s="33">
        <v>6.2</v>
      </c>
      <c r="G459" s="34">
        <v>3.1</v>
      </c>
      <c r="H459" s="33">
        <v>9.2</v>
      </c>
      <c r="I459" s="33">
        <v>85</v>
      </c>
      <c r="J459" s="33">
        <v>0.9</v>
      </c>
      <c r="K459" s="51"/>
      <c r="L459" s="51"/>
      <c r="M459" s="51"/>
      <c r="N459" s="51"/>
      <c r="O459" s="105"/>
      <c r="P459" s="51"/>
      <c r="Q459" s="95"/>
      <c r="R459" s="105"/>
      <c r="S459" s="51"/>
      <c r="T459" s="51"/>
      <c r="U459" s="34"/>
      <c r="V459" s="34">
        <f>V460</f>
        <v>18</v>
      </c>
    </row>
    <row r="460" spans="1:22" s="11" customFormat="1" ht="15.75">
      <c r="A460" s="12"/>
      <c r="B460" s="137" t="s">
        <v>51</v>
      </c>
      <c r="C460" s="54"/>
      <c r="D460" s="46">
        <v>125</v>
      </c>
      <c r="E460" s="50">
        <v>125</v>
      </c>
      <c r="F460" s="23"/>
      <c r="G460" s="51"/>
      <c r="H460" s="51"/>
      <c r="I460" s="51"/>
      <c r="J460" s="51"/>
      <c r="K460" s="33"/>
      <c r="L460" s="34"/>
      <c r="M460" s="34">
        <v>0.9</v>
      </c>
      <c r="N460" s="33">
        <v>0.1</v>
      </c>
      <c r="O460" s="34">
        <v>27</v>
      </c>
      <c r="P460" s="33">
        <v>0</v>
      </c>
      <c r="Q460" s="79">
        <v>165</v>
      </c>
      <c r="R460" s="79">
        <v>130</v>
      </c>
      <c r="S460" s="34">
        <v>20.4</v>
      </c>
      <c r="T460" s="33">
        <v>0.1</v>
      </c>
      <c r="U460" s="51">
        <v>144</v>
      </c>
      <c r="V460" s="60">
        <f>D460*U460/1000</f>
        <v>18</v>
      </c>
    </row>
    <row r="461" spans="1:22" s="12" customFormat="1" ht="15.75">
      <c r="A461" s="43"/>
      <c r="B461" s="119" t="s">
        <v>48</v>
      </c>
      <c r="C461" s="33">
        <v>200</v>
      </c>
      <c r="D461" s="33"/>
      <c r="E461" s="33"/>
      <c r="F461" s="34">
        <v>3.1</v>
      </c>
      <c r="G461" s="34">
        <v>2.7</v>
      </c>
      <c r="H461" s="34">
        <v>6.9</v>
      </c>
      <c r="I461" s="33">
        <v>119</v>
      </c>
      <c r="J461" s="33">
        <v>0.7</v>
      </c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352"/>
      <c r="V461" s="41">
        <f>SUM(V462:V464)</f>
        <v>8.8452</v>
      </c>
    </row>
    <row r="462" spans="1:22" s="43" customFormat="1" ht="15.75">
      <c r="A462" s="6"/>
      <c r="B462" s="63" t="s">
        <v>49</v>
      </c>
      <c r="C462" s="17"/>
      <c r="D462" s="20">
        <v>4</v>
      </c>
      <c r="E462" s="20">
        <v>4</v>
      </c>
      <c r="F462" s="21"/>
      <c r="G462" s="21"/>
      <c r="H462" s="21"/>
      <c r="I462" s="21"/>
      <c r="J462" s="21"/>
      <c r="K462" s="33"/>
      <c r="L462" s="352"/>
      <c r="M462" s="30">
        <v>1.3</v>
      </c>
      <c r="N462" s="33">
        <v>0.04</v>
      </c>
      <c r="O462" s="79">
        <v>20</v>
      </c>
      <c r="P462" s="33">
        <v>0.05</v>
      </c>
      <c r="Q462" s="38">
        <v>125.78</v>
      </c>
      <c r="R462" s="79">
        <v>90</v>
      </c>
      <c r="S462" s="33">
        <v>14</v>
      </c>
      <c r="T462" s="34">
        <v>0.13</v>
      </c>
      <c r="U462" s="51">
        <v>831.8</v>
      </c>
      <c r="V462" s="86">
        <f>D462*U462/1000</f>
        <v>3.3272</v>
      </c>
    </row>
    <row r="463" spans="2:22" s="6" customFormat="1" ht="15.75">
      <c r="B463" s="63" t="s">
        <v>86</v>
      </c>
      <c r="C463" s="17"/>
      <c r="D463" s="20">
        <v>100</v>
      </c>
      <c r="E463" s="20">
        <v>100</v>
      </c>
      <c r="F463" s="21"/>
      <c r="G463" s="21"/>
      <c r="H463" s="21"/>
      <c r="I463" s="21"/>
      <c r="J463" s="21"/>
      <c r="K463" s="21"/>
      <c r="L463" s="51"/>
      <c r="M463" s="21"/>
      <c r="N463" s="21"/>
      <c r="O463" s="112"/>
      <c r="P463" s="21"/>
      <c r="Q463" s="99"/>
      <c r="R463" s="202"/>
      <c r="S463" s="21"/>
      <c r="T463" s="21"/>
      <c r="U463" s="51">
        <v>55.18</v>
      </c>
      <c r="V463" s="86">
        <f>D463*U463/1000</f>
        <v>5.518</v>
      </c>
    </row>
    <row r="464" spans="2:22" s="6" customFormat="1" ht="15.75">
      <c r="B464" s="63" t="s">
        <v>54</v>
      </c>
      <c r="C464" s="17"/>
      <c r="D464" s="20">
        <v>100</v>
      </c>
      <c r="E464" s="20">
        <v>100</v>
      </c>
      <c r="F464" s="21"/>
      <c r="G464" s="21"/>
      <c r="H464" s="21"/>
      <c r="I464" s="21"/>
      <c r="J464" s="21"/>
      <c r="K464" s="21"/>
      <c r="L464" s="51"/>
      <c r="M464" s="21"/>
      <c r="N464" s="21"/>
      <c r="O464" s="112"/>
      <c r="P464" s="21"/>
      <c r="Q464" s="99"/>
      <c r="R464" s="202"/>
      <c r="S464" s="21"/>
      <c r="T464" s="21"/>
      <c r="U464" s="21"/>
      <c r="V464" s="86">
        <f>D464*U464/1000</f>
        <v>0</v>
      </c>
    </row>
    <row r="465" spans="1:22" s="6" customFormat="1" ht="15.75">
      <c r="A465" s="70"/>
      <c r="B465" s="123" t="s">
        <v>53</v>
      </c>
      <c r="C465" s="40">
        <v>40</v>
      </c>
      <c r="D465" s="69"/>
      <c r="E465" s="69"/>
      <c r="F465" s="40">
        <v>2.8</v>
      </c>
      <c r="G465" s="40">
        <v>0.48</v>
      </c>
      <c r="H465" s="40">
        <v>15.6</v>
      </c>
      <c r="I465" s="87">
        <v>80</v>
      </c>
      <c r="J465" s="74">
        <v>1.5</v>
      </c>
      <c r="K465" s="21"/>
      <c r="L465" s="21"/>
      <c r="M465" s="21"/>
      <c r="N465" s="21"/>
      <c r="O465" s="112"/>
      <c r="P465" s="21"/>
      <c r="Q465" s="99"/>
      <c r="R465" s="202"/>
      <c r="S465" s="21"/>
      <c r="T465" s="21"/>
      <c r="U465" s="60">
        <v>50.08</v>
      </c>
      <c r="V465" s="34">
        <f>C465*U465/1000</f>
        <v>2.0031999999999996</v>
      </c>
    </row>
    <row r="466" spans="1:22" s="70" customFormat="1" ht="31.5">
      <c r="A466" s="270" t="s">
        <v>197</v>
      </c>
      <c r="B466" s="271"/>
      <c r="C466" s="272" t="s">
        <v>211</v>
      </c>
      <c r="D466" s="271"/>
      <c r="E466" s="273"/>
      <c r="F466" s="274">
        <f>SUM(F448+F450+F459+F461+F465)</f>
        <v>27.64</v>
      </c>
      <c r="G466" s="274">
        <f>SUM(G448+G450+G459+G461+G465)</f>
        <v>26.72</v>
      </c>
      <c r="H466" s="274">
        <f>SUM(H448+H450+H459+H461+H465)</f>
        <v>41.2</v>
      </c>
      <c r="I466" s="274">
        <f>SUM(I448+I450+I459+I461+I465)</f>
        <v>641</v>
      </c>
      <c r="J466" s="274">
        <f>SUM(J448+J450+J459+J461+J465)</f>
        <v>4</v>
      </c>
      <c r="K466" s="40"/>
      <c r="L466" s="40"/>
      <c r="M466" s="67">
        <v>0</v>
      </c>
      <c r="N466" s="40">
        <v>0.04</v>
      </c>
      <c r="O466" s="107">
        <v>0</v>
      </c>
      <c r="P466" s="40">
        <v>0.28</v>
      </c>
      <c r="Q466" s="97">
        <v>5.8</v>
      </c>
      <c r="R466" s="74">
        <v>30</v>
      </c>
      <c r="S466" s="41">
        <v>9.4</v>
      </c>
      <c r="T466" s="40">
        <v>0.78</v>
      </c>
      <c r="U466" s="274"/>
      <c r="V466" s="287">
        <f>V448+V450+V459+V461+V465</f>
        <v>92.10985</v>
      </c>
    </row>
    <row r="467" spans="1:22" s="11" customFormat="1" ht="15.75">
      <c r="A467" s="264" t="s">
        <v>11</v>
      </c>
      <c r="B467" s="308"/>
      <c r="C467" s="264"/>
      <c r="D467" s="265"/>
      <c r="E467" s="266"/>
      <c r="F467" s="267"/>
      <c r="G467" s="267"/>
      <c r="H467" s="267"/>
      <c r="I467" s="267"/>
      <c r="J467" s="267"/>
      <c r="K467" s="274" t="e">
        <f>SUM(K449+K451+K460+K462+#REF!+K466)</f>
        <v>#REF!</v>
      </c>
      <c r="L467" s="274" t="e">
        <f>SUM(L449+L451+L460+L462+#REF!+L466)</f>
        <v>#REF!</v>
      </c>
      <c r="M467" s="274" t="e">
        <f>SUM(M449+M451+M460+M462+#REF!+M466)</f>
        <v>#REF!</v>
      </c>
      <c r="N467" s="274" t="e">
        <f>SUM(N449+N451+N460+N462+#REF!+N466)</f>
        <v>#REF!</v>
      </c>
      <c r="O467" s="275" t="e">
        <f>SUM(O449+O451+O460+O462+#REF!+O466)</f>
        <v>#REF!</v>
      </c>
      <c r="P467" s="274" t="e">
        <f>SUM(P449+P451+P460+P462+#REF!+P466)</f>
        <v>#REF!</v>
      </c>
      <c r="Q467" s="274" t="e">
        <f>SUM(Q449+Q451+Q460+Q462+#REF!+Q466)</f>
        <v>#REF!</v>
      </c>
      <c r="R467" s="274" t="e">
        <f>SUM(R449+R451+R460+R462+#REF!+R466)</f>
        <v>#REF!</v>
      </c>
      <c r="S467" s="274" t="e">
        <f>SUM(S449+S451+S460+S462+#REF!+S466)</f>
        <v>#REF!</v>
      </c>
      <c r="T467" s="274" t="e">
        <f>SUM(T449+T451+T460+T462+#REF!+T466)</f>
        <v>#REF!</v>
      </c>
      <c r="U467" s="12"/>
      <c r="V467" s="10"/>
    </row>
    <row r="468" spans="1:22" s="10" customFormat="1" ht="31.5">
      <c r="A468" s="73"/>
      <c r="B468" s="133" t="s">
        <v>261</v>
      </c>
      <c r="C468" s="40">
        <v>40</v>
      </c>
      <c r="D468" s="40"/>
      <c r="E468" s="40"/>
      <c r="F468" s="40">
        <v>0.32</v>
      </c>
      <c r="G468" s="41">
        <v>0.04</v>
      </c>
      <c r="H468" s="41">
        <v>0.68</v>
      </c>
      <c r="I468" s="40">
        <v>4</v>
      </c>
      <c r="J468" s="40">
        <v>0.07</v>
      </c>
      <c r="K468" s="309" t="e">
        <f>SUM(#REF!+#REF!+#REF!+#REF!+#REF!+K480+#REF!+#REF!)</f>
        <v>#REF!</v>
      </c>
      <c r="L468" s="309" t="e">
        <f>SUM(#REF!+#REF!+#REF!+#REF!+#REF!+L480+#REF!+#REF!)</f>
        <v>#REF!</v>
      </c>
      <c r="M468" s="309"/>
      <c r="N468" s="309"/>
      <c r="O468" s="309"/>
      <c r="P468" s="309"/>
      <c r="Q468" s="309"/>
      <c r="R468" s="309"/>
      <c r="S468" s="309"/>
      <c r="T468" s="309"/>
      <c r="U468" s="33"/>
      <c r="V468" s="34">
        <f>V469</f>
        <v>10.87946</v>
      </c>
    </row>
    <row r="469" spans="1:22" s="73" customFormat="1" ht="15.75">
      <c r="A469" s="6"/>
      <c r="B469" s="155" t="s">
        <v>223</v>
      </c>
      <c r="C469" s="69"/>
      <c r="D469" s="69">
        <v>67</v>
      </c>
      <c r="E469" s="69">
        <v>40</v>
      </c>
      <c r="F469" s="69"/>
      <c r="G469" s="86"/>
      <c r="H469" s="86"/>
      <c r="I469" s="69"/>
      <c r="J469" s="69"/>
      <c r="K469" s="77"/>
      <c r="L469" s="77"/>
      <c r="M469" s="67">
        <v>1.4</v>
      </c>
      <c r="N469" s="40">
        <v>0.01</v>
      </c>
      <c r="O469" s="41">
        <v>0</v>
      </c>
      <c r="P469" s="41">
        <v>0.04</v>
      </c>
      <c r="Q469" s="97">
        <v>9.2</v>
      </c>
      <c r="R469" s="74">
        <v>9.6</v>
      </c>
      <c r="S469" s="41">
        <v>5.6</v>
      </c>
      <c r="T469" s="40">
        <v>0.024</v>
      </c>
      <c r="U469" s="60">
        <v>162.38</v>
      </c>
      <c r="V469" s="60">
        <f>D469*U469/1000</f>
        <v>10.87946</v>
      </c>
    </row>
    <row r="470" spans="1:22" s="6" customFormat="1" ht="31.5">
      <c r="A470" s="73"/>
      <c r="B470" s="133" t="s">
        <v>33</v>
      </c>
      <c r="C470" s="40" t="s">
        <v>34</v>
      </c>
      <c r="D470" s="40"/>
      <c r="E470" s="40"/>
      <c r="F470" s="40">
        <v>6.4</v>
      </c>
      <c r="G470" s="40">
        <v>8.3</v>
      </c>
      <c r="H470" s="40">
        <v>35.4</v>
      </c>
      <c r="I470" s="40">
        <v>201</v>
      </c>
      <c r="J470" s="40">
        <v>3.5</v>
      </c>
      <c r="K470" s="71"/>
      <c r="L470" s="71"/>
      <c r="M470" s="156"/>
      <c r="N470" s="69"/>
      <c r="O470" s="86"/>
      <c r="P470" s="86"/>
      <c r="Q470" s="293"/>
      <c r="R470" s="294"/>
      <c r="S470" s="86"/>
      <c r="T470" s="69"/>
      <c r="U470" s="423"/>
      <c r="V470" s="34">
        <f>SUM(V471:V482)</f>
        <v>21.94704</v>
      </c>
    </row>
    <row r="471" spans="1:22" s="7" customFormat="1" ht="15.75">
      <c r="A471" s="28"/>
      <c r="B471" s="124" t="s">
        <v>82</v>
      </c>
      <c r="C471" s="61"/>
      <c r="D471" s="118">
        <v>133</v>
      </c>
      <c r="E471" s="61">
        <v>100</v>
      </c>
      <c r="F471" s="64"/>
      <c r="G471" s="64"/>
      <c r="H471" s="64"/>
      <c r="I471" s="64"/>
      <c r="J471" s="64"/>
      <c r="K471" s="77"/>
      <c r="L471" s="77"/>
      <c r="M471" s="97">
        <v>11.08</v>
      </c>
      <c r="N471" s="40">
        <v>0.01</v>
      </c>
      <c r="O471" s="87">
        <v>0</v>
      </c>
      <c r="P471" s="41">
        <v>1.3</v>
      </c>
      <c r="Q471" s="97">
        <v>39.5</v>
      </c>
      <c r="R471" s="87">
        <v>72.2</v>
      </c>
      <c r="S471" s="40">
        <v>29.7</v>
      </c>
      <c r="T471" s="40">
        <v>1.2</v>
      </c>
      <c r="U471" s="419">
        <v>50.25</v>
      </c>
      <c r="V471" s="60">
        <f>D471*U471/1000</f>
        <v>6.68325</v>
      </c>
    </row>
    <row r="472" spans="1:22" s="2" customFormat="1" ht="15.75">
      <c r="A472" s="28"/>
      <c r="B472" s="124" t="s">
        <v>130</v>
      </c>
      <c r="C472" s="61"/>
      <c r="D472" s="118">
        <v>142</v>
      </c>
      <c r="E472" s="61">
        <v>100</v>
      </c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111"/>
      <c r="S472" s="64"/>
      <c r="T472" s="64"/>
      <c r="U472" s="419"/>
      <c r="V472" s="60">
        <f aca="true" t="shared" si="36" ref="V472:V481">D472*U472/1000</f>
        <v>0</v>
      </c>
    </row>
    <row r="473" spans="1:22" s="2" customFormat="1" ht="15.75">
      <c r="A473" s="28"/>
      <c r="B473" s="329" t="s">
        <v>131</v>
      </c>
      <c r="C473" s="61"/>
      <c r="D473" s="118">
        <v>153</v>
      </c>
      <c r="E473" s="61">
        <v>100</v>
      </c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111"/>
      <c r="S473" s="64"/>
      <c r="T473" s="64"/>
      <c r="U473" s="419"/>
      <c r="V473" s="60">
        <f t="shared" si="36"/>
        <v>0</v>
      </c>
    </row>
    <row r="474" spans="1:22" s="2" customFormat="1" ht="15.75">
      <c r="A474" s="28"/>
      <c r="B474" s="124" t="s">
        <v>132</v>
      </c>
      <c r="C474" s="61"/>
      <c r="D474" s="118">
        <v>166</v>
      </c>
      <c r="E474" s="61">
        <v>100</v>
      </c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111"/>
      <c r="S474" s="64"/>
      <c r="T474" s="64"/>
      <c r="U474" s="419"/>
      <c r="V474" s="60">
        <f t="shared" si="36"/>
        <v>0</v>
      </c>
    </row>
    <row r="475" spans="1:22" s="2" customFormat="1" ht="15.75">
      <c r="A475" s="28"/>
      <c r="B475" s="124" t="s">
        <v>133</v>
      </c>
      <c r="C475" s="61"/>
      <c r="D475" s="118">
        <v>12</v>
      </c>
      <c r="E475" s="61">
        <v>10</v>
      </c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111"/>
      <c r="S475" s="64"/>
      <c r="T475" s="64"/>
      <c r="U475" s="419">
        <v>81.72</v>
      </c>
      <c r="V475" s="60">
        <f t="shared" si="36"/>
        <v>0.98064</v>
      </c>
    </row>
    <row r="476" spans="1:22" s="2" customFormat="1" ht="15.75">
      <c r="A476" s="28"/>
      <c r="B476" s="124" t="s">
        <v>104</v>
      </c>
      <c r="C476" s="61"/>
      <c r="D476" s="118">
        <v>12.5</v>
      </c>
      <c r="E476" s="61">
        <v>10</v>
      </c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111"/>
      <c r="S476" s="64"/>
      <c r="T476" s="64"/>
      <c r="U476" s="419"/>
      <c r="V476" s="60">
        <f t="shared" si="36"/>
        <v>0</v>
      </c>
    </row>
    <row r="477" spans="1:22" s="2" customFormat="1" ht="15.75">
      <c r="A477" s="70"/>
      <c r="B477" s="154" t="s">
        <v>55</v>
      </c>
      <c r="C477" s="40"/>
      <c r="D477" s="69">
        <v>12</v>
      </c>
      <c r="E477" s="69">
        <v>10</v>
      </c>
      <c r="F477" s="40"/>
      <c r="G477" s="40"/>
      <c r="H477" s="40"/>
      <c r="I477" s="40"/>
      <c r="J477" s="40"/>
      <c r="K477" s="64"/>
      <c r="L477" s="64"/>
      <c r="M477" s="64"/>
      <c r="N477" s="64"/>
      <c r="O477" s="64"/>
      <c r="P477" s="64"/>
      <c r="Q477" s="64"/>
      <c r="R477" s="111"/>
      <c r="S477" s="64"/>
      <c r="T477" s="64"/>
      <c r="U477" s="39">
        <v>32.75</v>
      </c>
      <c r="V477" s="60">
        <f t="shared" si="36"/>
        <v>0.393</v>
      </c>
    </row>
    <row r="478" spans="1:22" s="6" customFormat="1" ht="15.75">
      <c r="A478" s="70"/>
      <c r="B478" s="157" t="s">
        <v>250</v>
      </c>
      <c r="C478" s="40"/>
      <c r="D478" s="69">
        <v>1</v>
      </c>
      <c r="E478" s="69">
        <v>1</v>
      </c>
      <c r="F478" s="40"/>
      <c r="G478" s="40"/>
      <c r="H478" s="40"/>
      <c r="I478" s="40"/>
      <c r="J478" s="40"/>
      <c r="K478" s="71"/>
      <c r="L478" s="71"/>
      <c r="M478" s="67"/>
      <c r="N478" s="40"/>
      <c r="O478" s="87"/>
      <c r="P478" s="41"/>
      <c r="Q478" s="97"/>
      <c r="R478" s="87"/>
      <c r="S478" s="40"/>
      <c r="T478" s="40"/>
      <c r="U478" s="39">
        <v>264</v>
      </c>
      <c r="V478" s="60">
        <f t="shared" si="36"/>
        <v>0.264</v>
      </c>
    </row>
    <row r="479" spans="1:22" s="6" customFormat="1" ht="15.75">
      <c r="A479" s="70"/>
      <c r="B479" s="154" t="s">
        <v>57</v>
      </c>
      <c r="C479" s="40"/>
      <c r="D479" s="69">
        <v>2.5</v>
      </c>
      <c r="E479" s="69">
        <v>2.5</v>
      </c>
      <c r="F479" s="40"/>
      <c r="G479" s="40"/>
      <c r="H479" s="40"/>
      <c r="I479" s="40"/>
      <c r="J479" s="40"/>
      <c r="K479" s="71"/>
      <c r="L479" s="71"/>
      <c r="M479" s="67"/>
      <c r="N479" s="40"/>
      <c r="O479" s="87"/>
      <c r="P479" s="41"/>
      <c r="Q479" s="97"/>
      <c r="R479" s="87"/>
      <c r="S479" s="40"/>
      <c r="T479" s="40"/>
      <c r="U479" s="39">
        <v>125.7</v>
      </c>
      <c r="V479" s="60">
        <f t="shared" si="36"/>
        <v>0.31425</v>
      </c>
    </row>
    <row r="480" spans="1:22" s="6" customFormat="1" ht="15.75">
      <c r="A480" s="70"/>
      <c r="B480" s="154" t="s">
        <v>135</v>
      </c>
      <c r="C480" s="40"/>
      <c r="D480" s="69">
        <v>175</v>
      </c>
      <c r="E480" s="69">
        <v>175</v>
      </c>
      <c r="F480" s="40"/>
      <c r="G480" s="40"/>
      <c r="H480" s="40"/>
      <c r="I480" s="40"/>
      <c r="J480" s="40"/>
      <c r="K480" s="71"/>
      <c r="L480" s="71"/>
      <c r="M480" s="67"/>
      <c r="N480" s="40"/>
      <c r="O480" s="87"/>
      <c r="P480" s="41"/>
      <c r="Q480" s="97"/>
      <c r="R480" s="87"/>
      <c r="S480" s="40"/>
      <c r="T480" s="40"/>
      <c r="U480" s="39"/>
      <c r="V480" s="60">
        <f t="shared" si="36"/>
        <v>0</v>
      </c>
    </row>
    <row r="481" spans="1:22" s="6" customFormat="1" ht="15.75">
      <c r="A481" s="70"/>
      <c r="B481" s="154" t="s">
        <v>14</v>
      </c>
      <c r="C481" s="40"/>
      <c r="D481" s="69">
        <v>1</v>
      </c>
      <c r="E481" s="69">
        <v>1</v>
      </c>
      <c r="F481" s="40"/>
      <c r="G481" s="40"/>
      <c r="H481" s="40"/>
      <c r="I481" s="40"/>
      <c r="J481" s="40"/>
      <c r="K481" s="71"/>
      <c r="L481" s="71"/>
      <c r="M481" s="67"/>
      <c r="N481" s="40"/>
      <c r="O481" s="87"/>
      <c r="P481" s="41"/>
      <c r="Q481" s="97"/>
      <c r="R481" s="87"/>
      <c r="S481" s="40"/>
      <c r="T481" s="40"/>
      <c r="U481" s="39">
        <v>11.9</v>
      </c>
      <c r="V481" s="60">
        <f t="shared" si="36"/>
        <v>0.0119</v>
      </c>
    </row>
    <row r="482" spans="1:22" s="6" customFormat="1" ht="15.75">
      <c r="A482" s="316"/>
      <c r="B482" s="295" t="s">
        <v>265</v>
      </c>
      <c r="C482" s="434"/>
      <c r="D482" s="184">
        <v>35</v>
      </c>
      <c r="E482" s="184">
        <v>35</v>
      </c>
      <c r="F482" s="434"/>
      <c r="G482" s="434"/>
      <c r="H482" s="434"/>
      <c r="I482" s="434"/>
      <c r="J482" s="434"/>
      <c r="K482" s="36"/>
      <c r="L482" s="36"/>
      <c r="M482" s="31"/>
      <c r="N482" s="33"/>
      <c r="O482" s="79"/>
      <c r="P482" s="34"/>
      <c r="Q482" s="44"/>
      <c r="R482" s="79"/>
      <c r="S482" s="33"/>
      <c r="T482" s="33"/>
      <c r="U482" s="433">
        <v>380</v>
      </c>
      <c r="V482" s="60">
        <f>D482*U482/1000</f>
        <v>13.3</v>
      </c>
    </row>
    <row r="483" spans="1:22" s="120" customFormat="1" ht="15.75">
      <c r="A483" s="364"/>
      <c r="B483" s="134" t="s">
        <v>265</v>
      </c>
      <c r="C483" s="30">
        <v>100</v>
      </c>
      <c r="D483" s="30"/>
      <c r="E483" s="30"/>
      <c r="F483" s="196"/>
      <c r="G483" s="196"/>
      <c r="H483" s="196"/>
      <c r="I483" s="196"/>
      <c r="J483" s="196"/>
      <c r="K483" s="183"/>
      <c r="L483" s="183"/>
      <c r="M483" s="435"/>
      <c r="N483" s="434"/>
      <c r="O483" s="436"/>
      <c r="P483" s="337"/>
      <c r="Q483" s="437"/>
      <c r="R483" s="436"/>
      <c r="S483" s="434"/>
      <c r="T483" s="434"/>
      <c r="U483" s="31"/>
      <c r="V483" s="34">
        <f>SUM(V484:V485)</f>
        <v>45.0914</v>
      </c>
    </row>
    <row r="484" spans="1:206" s="131" customFormat="1" ht="15.75">
      <c r="A484" s="363"/>
      <c r="B484" s="148" t="s">
        <v>266</v>
      </c>
      <c r="C484" s="194"/>
      <c r="D484" s="61">
        <v>118</v>
      </c>
      <c r="E484" s="61">
        <v>118</v>
      </c>
      <c r="F484" s="194"/>
      <c r="G484" s="194"/>
      <c r="H484" s="194"/>
      <c r="I484" s="194"/>
      <c r="J484" s="194"/>
      <c r="K484" s="197"/>
      <c r="L484" s="197"/>
      <c r="M484" s="197"/>
      <c r="N484" s="197"/>
      <c r="O484" s="197"/>
      <c r="P484" s="197"/>
      <c r="Q484" s="198"/>
      <c r="R484" s="198"/>
      <c r="S484" s="197"/>
      <c r="T484" s="197"/>
      <c r="U484" s="64">
        <v>380</v>
      </c>
      <c r="V484" s="60">
        <f>D484*U484/1000</f>
        <v>44.84</v>
      </c>
      <c r="W484" s="364"/>
      <c r="X484" s="364"/>
      <c r="Y484" s="364"/>
      <c r="Z484" s="364"/>
      <c r="AA484" s="364"/>
      <c r="AB484" s="364"/>
      <c r="AC484" s="364"/>
      <c r="AD484" s="364"/>
      <c r="AE484" s="364"/>
      <c r="AF484" s="364"/>
      <c r="AG484" s="364"/>
      <c r="AH484" s="364"/>
      <c r="AI484" s="364"/>
      <c r="AJ484" s="364"/>
      <c r="AK484" s="364"/>
      <c r="AL484" s="364"/>
      <c r="AM484" s="364"/>
      <c r="AN484" s="364"/>
      <c r="AO484" s="364"/>
      <c r="AP484" s="364"/>
      <c r="AQ484" s="364"/>
      <c r="AR484" s="364"/>
      <c r="AS484" s="364"/>
      <c r="AT484" s="364"/>
      <c r="AU484" s="364"/>
      <c r="AV484" s="364"/>
      <c r="AW484" s="364"/>
      <c r="AX484" s="364"/>
      <c r="AY484" s="364"/>
      <c r="AZ484" s="364"/>
      <c r="BA484" s="364"/>
      <c r="BB484" s="364"/>
      <c r="BC484" s="364"/>
      <c r="BD484" s="364"/>
      <c r="BE484" s="364"/>
      <c r="BF484" s="364"/>
      <c r="BG484" s="364"/>
      <c r="BH484" s="364"/>
      <c r="BI484" s="364"/>
      <c r="BJ484" s="364"/>
      <c r="BK484" s="364"/>
      <c r="BL484" s="364"/>
      <c r="BM484" s="364"/>
      <c r="BN484" s="364"/>
      <c r="BO484" s="364"/>
      <c r="BP484" s="364"/>
      <c r="BQ484" s="364"/>
      <c r="BR484" s="364"/>
      <c r="BS484" s="364"/>
      <c r="BT484" s="364"/>
      <c r="BU484" s="364"/>
      <c r="BV484" s="364"/>
      <c r="BW484" s="364"/>
      <c r="BX484" s="364"/>
      <c r="BY484" s="364"/>
      <c r="BZ484" s="364"/>
      <c r="CA484" s="364"/>
      <c r="CB484" s="364"/>
      <c r="CC484" s="364"/>
      <c r="CD484" s="364"/>
      <c r="CE484" s="364"/>
      <c r="CF484" s="364"/>
      <c r="CG484" s="364"/>
      <c r="CH484" s="364"/>
      <c r="CI484" s="364"/>
      <c r="CJ484" s="364"/>
      <c r="CK484" s="364"/>
      <c r="CL484" s="364"/>
      <c r="CM484" s="364"/>
      <c r="CN484" s="364"/>
      <c r="CO484" s="364"/>
      <c r="CP484" s="364"/>
      <c r="CQ484" s="364"/>
      <c r="CR484" s="364"/>
      <c r="CS484" s="364"/>
      <c r="CT484" s="364"/>
      <c r="CU484" s="364"/>
      <c r="CV484" s="364"/>
      <c r="CW484" s="364"/>
      <c r="CX484" s="364"/>
      <c r="CY484" s="364"/>
      <c r="CZ484" s="364"/>
      <c r="DA484" s="364"/>
      <c r="DB484" s="364"/>
      <c r="DC484" s="364"/>
      <c r="DD484" s="364"/>
      <c r="DE484" s="364"/>
      <c r="DF484" s="364"/>
      <c r="DG484" s="364"/>
      <c r="DH484" s="364"/>
      <c r="DI484" s="364"/>
      <c r="DJ484" s="364"/>
      <c r="DK484" s="364"/>
      <c r="DL484" s="364"/>
      <c r="DM484" s="364"/>
      <c r="DN484" s="364"/>
      <c r="DO484" s="364"/>
      <c r="DP484" s="364"/>
      <c r="DQ484" s="364"/>
      <c r="DR484" s="364"/>
      <c r="DS484" s="364"/>
      <c r="DT484" s="364"/>
      <c r="DU484" s="364"/>
      <c r="DV484" s="364"/>
      <c r="DW484" s="364"/>
      <c r="DX484" s="364"/>
      <c r="DY484" s="364"/>
      <c r="DZ484" s="364"/>
      <c r="EA484" s="364"/>
      <c r="EB484" s="364"/>
      <c r="EC484" s="364"/>
      <c r="ED484" s="364"/>
      <c r="EE484" s="364"/>
      <c r="EF484" s="364"/>
      <c r="EG484" s="364"/>
      <c r="EH484" s="364"/>
      <c r="EI484" s="364"/>
      <c r="EJ484" s="364"/>
      <c r="EK484" s="364"/>
      <c r="EL484" s="364"/>
      <c r="EM484" s="364"/>
      <c r="EN484" s="364"/>
      <c r="EO484" s="364"/>
      <c r="EP484" s="364"/>
      <c r="EQ484" s="364"/>
      <c r="ER484" s="364"/>
      <c r="ES484" s="364"/>
      <c r="ET484" s="364"/>
      <c r="EU484" s="364"/>
      <c r="EV484" s="364"/>
      <c r="EW484" s="364"/>
      <c r="EX484" s="364"/>
      <c r="EY484" s="364"/>
      <c r="EZ484" s="364"/>
      <c r="FA484" s="364"/>
      <c r="FB484" s="364"/>
      <c r="FC484" s="364"/>
      <c r="FD484" s="364"/>
      <c r="FE484" s="364"/>
      <c r="FF484" s="364"/>
      <c r="FG484" s="364"/>
      <c r="FH484" s="364"/>
      <c r="FI484" s="364"/>
      <c r="FJ484" s="364"/>
      <c r="FK484" s="364"/>
      <c r="FL484" s="364"/>
      <c r="FM484" s="364"/>
      <c r="FN484" s="364"/>
      <c r="FO484" s="364"/>
      <c r="FP484" s="364"/>
      <c r="FQ484" s="364"/>
      <c r="FR484" s="364"/>
      <c r="FS484" s="364"/>
      <c r="FT484" s="364"/>
      <c r="FU484" s="364"/>
      <c r="FV484" s="364"/>
      <c r="FW484" s="364"/>
      <c r="FX484" s="364"/>
      <c r="FY484" s="364"/>
      <c r="FZ484" s="364"/>
      <c r="GA484" s="364"/>
      <c r="GB484" s="364"/>
      <c r="GC484" s="364"/>
      <c r="GD484" s="364"/>
      <c r="GE484" s="364"/>
      <c r="GF484" s="364"/>
      <c r="GG484" s="364"/>
      <c r="GH484" s="364"/>
      <c r="GI484" s="364"/>
      <c r="GJ484" s="364"/>
      <c r="GK484" s="364"/>
      <c r="GL484" s="364"/>
      <c r="GM484" s="364"/>
      <c r="GN484" s="364"/>
      <c r="GO484" s="364"/>
      <c r="GP484" s="364"/>
      <c r="GQ484" s="364"/>
      <c r="GR484" s="364"/>
      <c r="GS484" s="364"/>
      <c r="GT484" s="364"/>
      <c r="GU484" s="364"/>
      <c r="GV484" s="364"/>
      <c r="GW484" s="364"/>
      <c r="GX484" s="364"/>
    </row>
    <row r="485" spans="1:206" s="27" customFormat="1" ht="15.75">
      <c r="A485" s="363"/>
      <c r="B485" s="148" t="s">
        <v>57</v>
      </c>
      <c r="C485" s="194"/>
      <c r="D485" s="61">
        <v>2</v>
      </c>
      <c r="E485" s="61">
        <v>2</v>
      </c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5"/>
      <c r="R485" s="195"/>
      <c r="S485" s="194"/>
      <c r="T485" s="194"/>
      <c r="U485" s="64">
        <v>125.7</v>
      </c>
      <c r="V485" s="60">
        <f>D485*U485/1000</f>
        <v>0.2514</v>
      </c>
      <c r="W485" s="363"/>
      <c r="X485" s="363"/>
      <c r="Y485" s="363"/>
      <c r="Z485" s="363"/>
      <c r="AA485" s="363"/>
      <c r="AB485" s="363"/>
      <c r="AC485" s="363"/>
      <c r="AD485" s="363"/>
      <c r="AE485" s="363"/>
      <c r="AF485" s="363"/>
      <c r="AG485" s="363"/>
      <c r="AH485" s="363"/>
      <c r="AI485" s="363"/>
      <c r="AJ485" s="363"/>
      <c r="AK485" s="363"/>
      <c r="AL485" s="363"/>
      <c r="AM485" s="363"/>
      <c r="AN485" s="363"/>
      <c r="AO485" s="363"/>
      <c r="AP485" s="363"/>
      <c r="AQ485" s="363"/>
      <c r="AR485" s="363"/>
      <c r="AS485" s="363"/>
      <c r="AT485" s="363"/>
      <c r="AU485" s="363"/>
      <c r="AV485" s="363"/>
      <c r="AW485" s="363"/>
      <c r="AX485" s="363"/>
      <c r="AY485" s="363"/>
      <c r="AZ485" s="363"/>
      <c r="BA485" s="363"/>
      <c r="BB485" s="363"/>
      <c r="BC485" s="363"/>
      <c r="BD485" s="363"/>
      <c r="BE485" s="363"/>
      <c r="BF485" s="363"/>
      <c r="BG485" s="363"/>
      <c r="BH485" s="363"/>
      <c r="BI485" s="363"/>
      <c r="BJ485" s="363"/>
      <c r="BK485" s="363"/>
      <c r="BL485" s="363"/>
      <c r="BM485" s="363"/>
      <c r="BN485" s="363"/>
      <c r="BO485" s="363"/>
      <c r="BP485" s="363"/>
      <c r="BQ485" s="363"/>
      <c r="BR485" s="363"/>
      <c r="BS485" s="363"/>
      <c r="BT485" s="363"/>
      <c r="BU485" s="363"/>
      <c r="BV485" s="363"/>
      <c r="BW485" s="363"/>
      <c r="BX485" s="363"/>
      <c r="BY485" s="363"/>
      <c r="BZ485" s="363"/>
      <c r="CA485" s="363"/>
      <c r="CB485" s="363"/>
      <c r="CC485" s="363"/>
      <c r="CD485" s="363"/>
      <c r="CE485" s="363"/>
      <c r="CF485" s="363"/>
      <c r="CG485" s="363"/>
      <c r="CH485" s="363"/>
      <c r="CI485" s="363"/>
      <c r="CJ485" s="363"/>
      <c r="CK485" s="363"/>
      <c r="CL485" s="363"/>
      <c r="CM485" s="363"/>
      <c r="CN485" s="363"/>
      <c r="CO485" s="363"/>
      <c r="CP485" s="363"/>
      <c r="CQ485" s="363"/>
      <c r="CR485" s="363"/>
      <c r="CS485" s="363"/>
      <c r="CT485" s="363"/>
      <c r="CU485" s="363"/>
      <c r="CV485" s="363"/>
      <c r="CW485" s="363"/>
      <c r="CX485" s="363"/>
      <c r="CY485" s="363"/>
      <c r="CZ485" s="363"/>
      <c r="DA485" s="363"/>
      <c r="DB485" s="363"/>
      <c r="DC485" s="363"/>
      <c r="DD485" s="363"/>
      <c r="DE485" s="363"/>
      <c r="DF485" s="363"/>
      <c r="DG485" s="363"/>
      <c r="DH485" s="363"/>
      <c r="DI485" s="363"/>
      <c r="DJ485" s="363"/>
      <c r="DK485" s="363"/>
      <c r="DL485" s="363"/>
      <c r="DM485" s="363"/>
      <c r="DN485" s="363"/>
      <c r="DO485" s="363"/>
      <c r="DP485" s="363"/>
      <c r="DQ485" s="363"/>
      <c r="DR485" s="363"/>
      <c r="DS485" s="363"/>
      <c r="DT485" s="363"/>
      <c r="DU485" s="363"/>
      <c r="DV485" s="363"/>
      <c r="DW485" s="363"/>
      <c r="DX485" s="363"/>
      <c r="DY485" s="363"/>
      <c r="DZ485" s="363"/>
      <c r="EA485" s="363"/>
      <c r="EB485" s="363"/>
      <c r="EC485" s="363"/>
      <c r="ED485" s="363"/>
      <c r="EE485" s="363"/>
      <c r="EF485" s="363"/>
      <c r="EG485" s="363"/>
      <c r="EH485" s="363"/>
      <c r="EI485" s="363"/>
      <c r="EJ485" s="363"/>
      <c r="EK485" s="363"/>
      <c r="EL485" s="363"/>
      <c r="EM485" s="363"/>
      <c r="EN485" s="363"/>
      <c r="EO485" s="363"/>
      <c r="EP485" s="363"/>
      <c r="EQ485" s="363"/>
      <c r="ER485" s="363"/>
      <c r="ES485" s="363"/>
      <c r="ET485" s="363"/>
      <c r="EU485" s="363"/>
      <c r="EV485" s="363"/>
      <c r="EW485" s="363"/>
      <c r="EX485" s="363"/>
      <c r="EY485" s="363"/>
      <c r="EZ485" s="363"/>
      <c r="FA485" s="363"/>
      <c r="FB485" s="363"/>
      <c r="FC485" s="363"/>
      <c r="FD485" s="363"/>
      <c r="FE485" s="363"/>
      <c r="FF485" s="363"/>
      <c r="FG485" s="363"/>
      <c r="FH485" s="363"/>
      <c r="FI485" s="363"/>
      <c r="FJ485" s="363"/>
      <c r="FK485" s="363"/>
      <c r="FL485" s="363"/>
      <c r="FM485" s="363"/>
      <c r="FN485" s="363"/>
      <c r="FO485" s="363"/>
      <c r="FP485" s="363"/>
      <c r="FQ485" s="363"/>
      <c r="FR485" s="363"/>
      <c r="FS485" s="363"/>
      <c r="FT485" s="363"/>
      <c r="FU485" s="363"/>
      <c r="FV485" s="363"/>
      <c r="FW485" s="363"/>
      <c r="FX485" s="363"/>
      <c r="FY485" s="363"/>
      <c r="FZ485" s="363"/>
      <c r="GA485" s="363"/>
      <c r="GB485" s="363"/>
      <c r="GC485" s="363"/>
      <c r="GD485" s="363"/>
      <c r="GE485" s="363"/>
      <c r="GF485" s="363"/>
      <c r="GG485" s="363"/>
      <c r="GH485" s="363"/>
      <c r="GI485" s="363"/>
      <c r="GJ485" s="363"/>
      <c r="GK485" s="363"/>
      <c r="GL485" s="363"/>
      <c r="GM485" s="363"/>
      <c r="GN485" s="363"/>
      <c r="GO485" s="363"/>
      <c r="GP485" s="363"/>
      <c r="GQ485" s="363"/>
      <c r="GR485" s="363"/>
      <c r="GS485" s="363"/>
      <c r="GT485" s="363"/>
      <c r="GU485" s="363"/>
      <c r="GV485" s="363"/>
      <c r="GW485" s="363"/>
      <c r="GX485" s="363"/>
    </row>
    <row r="486" spans="1:206" s="27" customFormat="1" ht="15.75">
      <c r="A486" s="285"/>
      <c r="B486" s="134" t="s">
        <v>117</v>
      </c>
      <c r="C486" s="42">
        <v>25</v>
      </c>
      <c r="D486" s="42"/>
      <c r="E486" s="42"/>
      <c r="F486" s="42">
        <v>0.75</v>
      </c>
      <c r="G486" s="42">
        <v>1.25</v>
      </c>
      <c r="H486" s="42">
        <v>2.8</v>
      </c>
      <c r="I486" s="107">
        <v>33.33</v>
      </c>
      <c r="J486" s="107">
        <v>0.3</v>
      </c>
      <c r="K486" s="194"/>
      <c r="L486" s="194"/>
      <c r="M486" s="194"/>
      <c r="N486" s="194"/>
      <c r="O486" s="194"/>
      <c r="P486" s="194"/>
      <c r="Q486" s="195"/>
      <c r="R486" s="195"/>
      <c r="S486" s="194"/>
      <c r="T486" s="194"/>
      <c r="U486" s="31"/>
      <c r="V486" s="34">
        <f>SUM(V487:V491)</f>
        <v>2.045132</v>
      </c>
      <c r="W486" s="363"/>
      <c r="X486" s="363"/>
      <c r="Y486" s="363"/>
      <c r="Z486" s="363"/>
      <c r="AA486" s="363"/>
      <c r="AB486" s="363"/>
      <c r="AC486" s="363"/>
      <c r="AD486" s="363"/>
      <c r="AE486" s="363"/>
      <c r="AF486" s="363"/>
      <c r="AG486" s="363"/>
      <c r="AH486" s="363"/>
      <c r="AI486" s="363"/>
      <c r="AJ486" s="363"/>
      <c r="AK486" s="363"/>
      <c r="AL486" s="363"/>
      <c r="AM486" s="363"/>
      <c r="AN486" s="363"/>
      <c r="AO486" s="363"/>
      <c r="AP486" s="363"/>
      <c r="AQ486" s="363"/>
      <c r="AR486" s="363"/>
      <c r="AS486" s="363"/>
      <c r="AT486" s="363"/>
      <c r="AU486" s="363"/>
      <c r="AV486" s="363"/>
      <c r="AW486" s="363"/>
      <c r="AX486" s="363"/>
      <c r="AY486" s="363"/>
      <c r="AZ486" s="363"/>
      <c r="BA486" s="363"/>
      <c r="BB486" s="363"/>
      <c r="BC486" s="363"/>
      <c r="BD486" s="363"/>
      <c r="BE486" s="363"/>
      <c r="BF486" s="363"/>
      <c r="BG486" s="363"/>
      <c r="BH486" s="363"/>
      <c r="BI486" s="363"/>
      <c r="BJ486" s="363"/>
      <c r="BK486" s="363"/>
      <c r="BL486" s="363"/>
      <c r="BM486" s="363"/>
      <c r="BN486" s="363"/>
      <c r="BO486" s="363"/>
      <c r="BP486" s="363"/>
      <c r="BQ486" s="363"/>
      <c r="BR486" s="363"/>
      <c r="BS486" s="363"/>
      <c r="BT486" s="363"/>
      <c r="BU486" s="363"/>
      <c r="BV486" s="363"/>
      <c r="BW486" s="363"/>
      <c r="BX486" s="363"/>
      <c r="BY486" s="363"/>
      <c r="BZ486" s="363"/>
      <c r="CA486" s="363"/>
      <c r="CB486" s="363"/>
      <c r="CC486" s="363"/>
      <c r="CD486" s="363"/>
      <c r="CE486" s="363"/>
      <c r="CF486" s="363"/>
      <c r="CG486" s="363"/>
      <c r="CH486" s="363"/>
      <c r="CI486" s="363"/>
      <c r="CJ486" s="363"/>
      <c r="CK486" s="363"/>
      <c r="CL486" s="363"/>
      <c r="CM486" s="363"/>
      <c r="CN486" s="363"/>
      <c r="CO486" s="363"/>
      <c r="CP486" s="363"/>
      <c r="CQ486" s="363"/>
      <c r="CR486" s="363"/>
      <c r="CS486" s="363"/>
      <c r="CT486" s="363"/>
      <c r="CU486" s="363"/>
      <c r="CV486" s="363"/>
      <c r="CW486" s="363"/>
      <c r="CX486" s="363"/>
      <c r="CY486" s="363"/>
      <c r="CZ486" s="363"/>
      <c r="DA486" s="363"/>
      <c r="DB486" s="363"/>
      <c r="DC486" s="363"/>
      <c r="DD486" s="363"/>
      <c r="DE486" s="363"/>
      <c r="DF486" s="363"/>
      <c r="DG486" s="363"/>
      <c r="DH486" s="363"/>
      <c r="DI486" s="363"/>
      <c r="DJ486" s="363"/>
      <c r="DK486" s="363"/>
      <c r="DL486" s="363"/>
      <c r="DM486" s="363"/>
      <c r="DN486" s="363"/>
      <c r="DO486" s="363"/>
      <c r="DP486" s="363"/>
      <c r="DQ486" s="363"/>
      <c r="DR486" s="363"/>
      <c r="DS486" s="363"/>
      <c r="DT486" s="363"/>
      <c r="DU486" s="363"/>
      <c r="DV486" s="363"/>
      <c r="DW486" s="363"/>
      <c r="DX486" s="363"/>
      <c r="DY486" s="363"/>
      <c r="DZ486" s="363"/>
      <c r="EA486" s="363"/>
      <c r="EB486" s="363"/>
      <c r="EC486" s="363"/>
      <c r="ED486" s="363"/>
      <c r="EE486" s="363"/>
      <c r="EF486" s="363"/>
      <c r="EG486" s="363"/>
      <c r="EH486" s="363"/>
      <c r="EI486" s="363"/>
      <c r="EJ486" s="363"/>
      <c r="EK486" s="363"/>
      <c r="EL486" s="363"/>
      <c r="EM486" s="363"/>
      <c r="EN486" s="363"/>
      <c r="EO486" s="363"/>
      <c r="EP486" s="363"/>
      <c r="EQ486" s="363"/>
      <c r="ER486" s="363"/>
      <c r="ES486" s="363"/>
      <c r="ET486" s="363"/>
      <c r="EU486" s="363"/>
      <c r="EV486" s="363"/>
      <c r="EW486" s="363"/>
      <c r="EX486" s="363"/>
      <c r="EY486" s="363"/>
      <c r="EZ486" s="363"/>
      <c r="FA486" s="363"/>
      <c r="FB486" s="363"/>
      <c r="FC486" s="363"/>
      <c r="FD486" s="363"/>
      <c r="FE486" s="363"/>
      <c r="FF486" s="363"/>
      <c r="FG486" s="363"/>
      <c r="FH486" s="363"/>
      <c r="FI486" s="363"/>
      <c r="FJ486" s="363"/>
      <c r="FK486" s="363"/>
      <c r="FL486" s="363"/>
      <c r="FM486" s="363"/>
      <c r="FN486" s="363"/>
      <c r="FO486" s="363"/>
      <c r="FP486" s="363"/>
      <c r="FQ486" s="363"/>
      <c r="FR486" s="363"/>
      <c r="FS486" s="363"/>
      <c r="FT486" s="363"/>
      <c r="FU486" s="363"/>
      <c r="FV486" s="363"/>
      <c r="FW486" s="363"/>
      <c r="FX486" s="363"/>
      <c r="FY486" s="363"/>
      <c r="FZ486" s="363"/>
      <c r="GA486" s="363"/>
      <c r="GB486" s="363"/>
      <c r="GC486" s="363"/>
      <c r="GD486" s="363"/>
      <c r="GE486" s="363"/>
      <c r="GF486" s="363"/>
      <c r="GG486" s="363"/>
      <c r="GH486" s="363"/>
      <c r="GI486" s="363"/>
      <c r="GJ486" s="363"/>
      <c r="GK486" s="363"/>
      <c r="GL486" s="363"/>
      <c r="GM486" s="363"/>
      <c r="GN486" s="363"/>
      <c r="GO486" s="363"/>
      <c r="GP486" s="363"/>
      <c r="GQ486" s="363"/>
      <c r="GR486" s="363"/>
      <c r="GS486" s="363"/>
      <c r="GT486" s="363"/>
      <c r="GU486" s="363"/>
      <c r="GV486" s="363"/>
      <c r="GW486" s="363"/>
      <c r="GX486" s="363"/>
    </row>
    <row r="487" spans="1:206" s="76" customFormat="1" ht="15.75">
      <c r="A487" s="208"/>
      <c r="B487" s="199" t="s">
        <v>90</v>
      </c>
      <c r="C487" s="189"/>
      <c r="D487" s="90">
        <v>6.5</v>
      </c>
      <c r="E487" s="90">
        <v>6.5</v>
      </c>
      <c r="F487" s="189"/>
      <c r="G487" s="189"/>
      <c r="H487" s="189"/>
      <c r="I487" s="189"/>
      <c r="J487" s="189"/>
      <c r="K487" s="42"/>
      <c r="L487" s="42"/>
      <c r="M487" s="42">
        <v>0.58</v>
      </c>
      <c r="N487" s="42">
        <v>0.02</v>
      </c>
      <c r="O487" s="42">
        <v>14.08</v>
      </c>
      <c r="P487" s="42">
        <v>0.1</v>
      </c>
      <c r="Q487" s="97">
        <v>12.17</v>
      </c>
      <c r="R487" s="97">
        <v>12.16</v>
      </c>
      <c r="S487" s="42">
        <v>4</v>
      </c>
      <c r="T487" s="42">
        <v>0.13</v>
      </c>
      <c r="U487" s="64">
        <v>237.77</v>
      </c>
      <c r="V487" s="60">
        <f>D487*U487/1000</f>
        <v>1.5455050000000001</v>
      </c>
      <c r="W487" s="285"/>
      <c r="X487" s="285"/>
      <c r="Y487" s="285"/>
      <c r="Z487" s="285"/>
      <c r="AA487" s="285"/>
      <c r="AB487" s="285"/>
      <c r="AC487" s="285"/>
      <c r="AD487" s="285"/>
      <c r="AE487" s="285"/>
      <c r="AF487" s="285"/>
      <c r="AG487" s="285"/>
      <c r="AH487" s="285"/>
      <c r="AI487" s="285"/>
      <c r="AJ487" s="285"/>
      <c r="AK487" s="285"/>
      <c r="AL487" s="285"/>
      <c r="AM487" s="285"/>
      <c r="AN487" s="285"/>
      <c r="AO487" s="285"/>
      <c r="AP487" s="285"/>
      <c r="AQ487" s="285"/>
      <c r="AR487" s="285"/>
      <c r="AS487" s="285"/>
      <c r="AT487" s="285"/>
      <c r="AU487" s="285"/>
      <c r="AV487" s="285"/>
      <c r="AW487" s="285"/>
      <c r="AX487" s="285"/>
      <c r="AY487" s="285"/>
      <c r="AZ487" s="285"/>
      <c r="BA487" s="285"/>
      <c r="BB487" s="285"/>
      <c r="BC487" s="285"/>
      <c r="BD487" s="285"/>
      <c r="BE487" s="285"/>
      <c r="BF487" s="285"/>
      <c r="BG487" s="285"/>
      <c r="BH487" s="285"/>
      <c r="BI487" s="285"/>
      <c r="BJ487" s="285"/>
      <c r="BK487" s="285"/>
      <c r="BL487" s="285"/>
      <c r="BM487" s="285"/>
      <c r="BN487" s="285"/>
      <c r="BO487" s="285"/>
      <c r="BP487" s="285"/>
      <c r="BQ487" s="285"/>
      <c r="BR487" s="285"/>
      <c r="BS487" s="285"/>
      <c r="BT487" s="285"/>
      <c r="BU487" s="285"/>
      <c r="BV487" s="285"/>
      <c r="BW487" s="285"/>
      <c r="BX487" s="285"/>
      <c r="BY487" s="285"/>
      <c r="BZ487" s="285"/>
      <c r="CA487" s="285"/>
      <c r="CB487" s="285"/>
      <c r="CC487" s="285"/>
      <c r="CD487" s="285"/>
      <c r="CE487" s="285"/>
      <c r="CF487" s="285"/>
      <c r="CG487" s="285"/>
      <c r="CH487" s="285"/>
      <c r="CI487" s="285"/>
      <c r="CJ487" s="285"/>
      <c r="CK487" s="285"/>
      <c r="CL487" s="285"/>
      <c r="CM487" s="285"/>
      <c r="CN487" s="285"/>
      <c r="CO487" s="285"/>
      <c r="CP487" s="285"/>
      <c r="CQ487" s="285"/>
      <c r="CR487" s="285"/>
      <c r="CS487" s="285"/>
      <c r="CT487" s="285"/>
      <c r="CU487" s="285"/>
      <c r="CV487" s="285"/>
      <c r="CW487" s="285"/>
      <c r="CX487" s="285"/>
      <c r="CY487" s="285"/>
      <c r="CZ487" s="285"/>
      <c r="DA487" s="285"/>
      <c r="DB487" s="285"/>
      <c r="DC487" s="285"/>
      <c r="DD487" s="285"/>
      <c r="DE487" s="285"/>
      <c r="DF487" s="285"/>
      <c r="DG487" s="285"/>
      <c r="DH487" s="285"/>
      <c r="DI487" s="285"/>
      <c r="DJ487" s="285"/>
      <c r="DK487" s="285"/>
      <c r="DL487" s="285"/>
      <c r="DM487" s="285"/>
      <c r="DN487" s="285"/>
      <c r="DO487" s="285"/>
      <c r="DP487" s="285"/>
      <c r="DQ487" s="285"/>
      <c r="DR487" s="285"/>
      <c r="DS487" s="285"/>
      <c r="DT487" s="285"/>
      <c r="DU487" s="285"/>
      <c r="DV487" s="285"/>
      <c r="DW487" s="285"/>
      <c r="DX487" s="285"/>
      <c r="DY487" s="285"/>
      <c r="DZ487" s="285"/>
      <c r="EA487" s="285"/>
      <c r="EB487" s="285"/>
      <c r="EC487" s="285"/>
      <c r="ED487" s="285"/>
      <c r="EE487" s="285"/>
      <c r="EF487" s="285"/>
      <c r="EG487" s="285"/>
      <c r="EH487" s="285"/>
      <c r="EI487" s="285"/>
      <c r="EJ487" s="285"/>
      <c r="EK487" s="285"/>
      <c r="EL487" s="285"/>
      <c r="EM487" s="285"/>
      <c r="EN487" s="285"/>
      <c r="EO487" s="285"/>
      <c r="EP487" s="285"/>
      <c r="EQ487" s="285"/>
      <c r="ER487" s="285"/>
      <c r="ES487" s="285"/>
      <c r="ET487" s="285"/>
      <c r="EU487" s="285"/>
      <c r="EV487" s="285"/>
      <c r="EW487" s="285"/>
      <c r="EX487" s="285"/>
      <c r="EY487" s="285"/>
      <c r="EZ487" s="285"/>
      <c r="FA487" s="285"/>
      <c r="FB487" s="285"/>
      <c r="FC487" s="285"/>
      <c r="FD487" s="285"/>
      <c r="FE487" s="285"/>
      <c r="FF487" s="285"/>
      <c r="FG487" s="285"/>
      <c r="FH487" s="285"/>
      <c r="FI487" s="285"/>
      <c r="FJ487" s="285"/>
      <c r="FK487" s="285"/>
      <c r="FL487" s="285"/>
      <c r="FM487" s="285"/>
      <c r="FN487" s="285"/>
      <c r="FO487" s="285"/>
      <c r="FP487" s="285"/>
      <c r="FQ487" s="285"/>
      <c r="FR487" s="285"/>
      <c r="FS487" s="285"/>
      <c r="FT487" s="285"/>
      <c r="FU487" s="285"/>
      <c r="FV487" s="285"/>
      <c r="FW487" s="285"/>
      <c r="FX487" s="285"/>
      <c r="FY487" s="285"/>
      <c r="FZ487" s="285"/>
      <c r="GA487" s="285"/>
      <c r="GB487" s="285"/>
      <c r="GC487" s="285"/>
      <c r="GD487" s="285"/>
      <c r="GE487" s="285"/>
      <c r="GF487" s="285"/>
      <c r="GG487" s="285"/>
      <c r="GH487" s="285"/>
      <c r="GI487" s="285"/>
      <c r="GJ487" s="285"/>
      <c r="GK487" s="285"/>
      <c r="GL487" s="285"/>
      <c r="GM487" s="285"/>
      <c r="GN487" s="285"/>
      <c r="GO487" s="285"/>
      <c r="GP487" s="285"/>
      <c r="GQ487" s="285"/>
      <c r="GR487" s="285"/>
      <c r="GS487" s="285"/>
      <c r="GT487" s="285"/>
      <c r="GU487" s="285"/>
      <c r="GV487" s="285"/>
      <c r="GW487" s="285"/>
      <c r="GX487" s="285"/>
    </row>
    <row r="488" spans="1:206" s="47" customFormat="1" ht="15.75">
      <c r="A488" s="208"/>
      <c r="B488" s="199" t="s">
        <v>56</v>
      </c>
      <c r="C488" s="189"/>
      <c r="D488" s="90">
        <v>1.9</v>
      </c>
      <c r="E488" s="90">
        <v>1.9</v>
      </c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91"/>
      <c r="R488" s="191"/>
      <c r="S488" s="189"/>
      <c r="T488" s="189"/>
      <c r="U488" s="64">
        <v>39.08</v>
      </c>
      <c r="V488" s="60">
        <f>D488*U488/1000</f>
        <v>0.074252</v>
      </c>
      <c r="W488" s="20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/>
      <c r="AH488" s="208"/>
      <c r="AI488" s="208"/>
      <c r="AJ488" s="208"/>
      <c r="AK488" s="208"/>
      <c r="AL488" s="208"/>
      <c r="AM488" s="208"/>
      <c r="AN488" s="208"/>
      <c r="AO488" s="208"/>
      <c r="AP488" s="208"/>
      <c r="AQ488" s="208"/>
      <c r="AR488" s="208"/>
      <c r="AS488" s="208"/>
      <c r="AT488" s="208"/>
      <c r="AU488" s="208"/>
      <c r="AV488" s="208"/>
      <c r="AW488" s="208"/>
      <c r="AX488" s="208"/>
      <c r="AY488" s="208"/>
      <c r="AZ488" s="208"/>
      <c r="BA488" s="208"/>
      <c r="BB488" s="208"/>
      <c r="BC488" s="208"/>
      <c r="BD488" s="208"/>
      <c r="BE488" s="208"/>
      <c r="BF488" s="208"/>
      <c r="BG488" s="208"/>
      <c r="BH488" s="208"/>
      <c r="BI488" s="208"/>
      <c r="BJ488" s="208"/>
      <c r="BK488" s="208"/>
      <c r="BL488" s="208"/>
      <c r="BM488" s="208"/>
      <c r="BN488" s="208"/>
      <c r="BO488" s="208"/>
      <c r="BP488" s="208"/>
      <c r="BQ488" s="208"/>
      <c r="BR488" s="208"/>
      <c r="BS488" s="208"/>
      <c r="BT488" s="208"/>
      <c r="BU488" s="208"/>
      <c r="BV488" s="208"/>
      <c r="BW488" s="208"/>
      <c r="BX488" s="208"/>
      <c r="BY488" s="208"/>
      <c r="BZ488" s="208"/>
      <c r="CA488" s="208"/>
      <c r="CB488" s="208"/>
      <c r="CC488" s="208"/>
      <c r="CD488" s="208"/>
      <c r="CE488" s="208"/>
      <c r="CF488" s="208"/>
      <c r="CG488" s="208"/>
      <c r="CH488" s="208"/>
      <c r="CI488" s="208"/>
      <c r="CJ488" s="208"/>
      <c r="CK488" s="208"/>
      <c r="CL488" s="208"/>
      <c r="CM488" s="208"/>
      <c r="CN488" s="208"/>
      <c r="CO488" s="208"/>
      <c r="CP488" s="208"/>
      <c r="CQ488" s="208"/>
      <c r="CR488" s="208"/>
      <c r="CS488" s="208"/>
      <c r="CT488" s="208"/>
      <c r="CU488" s="208"/>
      <c r="CV488" s="208"/>
      <c r="CW488" s="208"/>
      <c r="CX488" s="208"/>
      <c r="CY488" s="208"/>
      <c r="CZ488" s="208"/>
      <c r="DA488" s="208"/>
      <c r="DB488" s="208"/>
      <c r="DC488" s="208"/>
      <c r="DD488" s="208"/>
      <c r="DE488" s="208"/>
      <c r="DF488" s="208"/>
      <c r="DG488" s="208"/>
      <c r="DH488" s="208"/>
      <c r="DI488" s="208"/>
      <c r="DJ488" s="208"/>
      <c r="DK488" s="208"/>
      <c r="DL488" s="208"/>
      <c r="DM488" s="208"/>
      <c r="DN488" s="208"/>
      <c r="DO488" s="208"/>
      <c r="DP488" s="208"/>
      <c r="DQ488" s="208"/>
      <c r="DR488" s="208"/>
      <c r="DS488" s="208"/>
      <c r="DT488" s="208"/>
      <c r="DU488" s="208"/>
      <c r="DV488" s="208"/>
      <c r="DW488" s="208"/>
      <c r="DX488" s="208"/>
      <c r="DY488" s="208"/>
      <c r="DZ488" s="208"/>
      <c r="EA488" s="208"/>
      <c r="EB488" s="208"/>
      <c r="EC488" s="208"/>
      <c r="ED488" s="208"/>
      <c r="EE488" s="208"/>
      <c r="EF488" s="208"/>
      <c r="EG488" s="208"/>
      <c r="EH488" s="208"/>
      <c r="EI488" s="208"/>
      <c r="EJ488" s="208"/>
      <c r="EK488" s="208"/>
      <c r="EL488" s="208"/>
      <c r="EM488" s="208"/>
      <c r="EN488" s="208"/>
      <c r="EO488" s="208"/>
      <c r="EP488" s="208"/>
      <c r="EQ488" s="208"/>
      <c r="ER488" s="208"/>
      <c r="ES488" s="208"/>
      <c r="ET488" s="208"/>
      <c r="EU488" s="208"/>
      <c r="EV488" s="208"/>
      <c r="EW488" s="208"/>
      <c r="EX488" s="208"/>
      <c r="EY488" s="208"/>
      <c r="EZ488" s="208"/>
      <c r="FA488" s="208"/>
      <c r="FB488" s="208"/>
      <c r="FC488" s="208"/>
      <c r="FD488" s="208"/>
      <c r="FE488" s="208"/>
      <c r="FF488" s="208"/>
      <c r="FG488" s="208"/>
      <c r="FH488" s="208"/>
      <c r="FI488" s="208"/>
      <c r="FJ488" s="208"/>
      <c r="FK488" s="208"/>
      <c r="FL488" s="208"/>
      <c r="FM488" s="208"/>
      <c r="FN488" s="208"/>
      <c r="FO488" s="208"/>
      <c r="FP488" s="208"/>
      <c r="FQ488" s="208"/>
      <c r="FR488" s="208"/>
      <c r="FS488" s="208"/>
      <c r="FT488" s="208"/>
      <c r="FU488" s="208"/>
      <c r="FV488" s="208"/>
      <c r="FW488" s="208"/>
      <c r="FX488" s="208"/>
      <c r="FY488" s="208"/>
      <c r="FZ488" s="208"/>
      <c r="GA488" s="208"/>
      <c r="GB488" s="208"/>
      <c r="GC488" s="208"/>
      <c r="GD488" s="208"/>
      <c r="GE488" s="208"/>
      <c r="GF488" s="208"/>
      <c r="GG488" s="208"/>
      <c r="GH488" s="208"/>
      <c r="GI488" s="208"/>
      <c r="GJ488" s="208"/>
      <c r="GK488" s="208"/>
      <c r="GL488" s="208"/>
      <c r="GM488" s="208"/>
      <c r="GN488" s="208"/>
      <c r="GO488" s="208"/>
      <c r="GP488" s="208"/>
      <c r="GQ488" s="208"/>
      <c r="GR488" s="208"/>
      <c r="GS488" s="208"/>
      <c r="GT488" s="208"/>
      <c r="GU488" s="208"/>
      <c r="GV488" s="208"/>
      <c r="GW488" s="208"/>
      <c r="GX488" s="208"/>
    </row>
    <row r="489" spans="1:206" s="47" customFormat="1" ht="15.75">
      <c r="A489" s="208"/>
      <c r="B489" s="199" t="s">
        <v>54</v>
      </c>
      <c r="C489" s="189"/>
      <c r="D489" s="90">
        <v>19</v>
      </c>
      <c r="E489" s="90">
        <v>19</v>
      </c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91"/>
      <c r="R489" s="191"/>
      <c r="S489" s="189"/>
      <c r="T489" s="189"/>
      <c r="U489" s="64"/>
      <c r="V489" s="60">
        <f>D489*U489/1000</f>
        <v>0</v>
      </c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208"/>
      <c r="AP489" s="208"/>
      <c r="AQ489" s="208"/>
      <c r="AR489" s="208"/>
      <c r="AS489" s="208"/>
      <c r="AT489" s="208"/>
      <c r="AU489" s="208"/>
      <c r="AV489" s="208"/>
      <c r="AW489" s="208"/>
      <c r="AX489" s="208"/>
      <c r="AY489" s="208"/>
      <c r="AZ489" s="208"/>
      <c r="BA489" s="208"/>
      <c r="BB489" s="208"/>
      <c r="BC489" s="208"/>
      <c r="BD489" s="208"/>
      <c r="BE489" s="208"/>
      <c r="BF489" s="208"/>
      <c r="BG489" s="208"/>
      <c r="BH489" s="208"/>
      <c r="BI489" s="208"/>
      <c r="BJ489" s="208"/>
      <c r="BK489" s="208"/>
      <c r="BL489" s="208"/>
      <c r="BM489" s="208"/>
      <c r="BN489" s="208"/>
      <c r="BO489" s="208"/>
      <c r="BP489" s="208"/>
      <c r="BQ489" s="208"/>
      <c r="BR489" s="208"/>
      <c r="BS489" s="208"/>
      <c r="BT489" s="208"/>
      <c r="BU489" s="208"/>
      <c r="BV489" s="208"/>
      <c r="BW489" s="208"/>
      <c r="BX489" s="208"/>
      <c r="BY489" s="208"/>
      <c r="BZ489" s="208"/>
      <c r="CA489" s="208"/>
      <c r="CB489" s="208"/>
      <c r="CC489" s="208"/>
      <c r="CD489" s="208"/>
      <c r="CE489" s="208"/>
      <c r="CF489" s="208"/>
      <c r="CG489" s="208"/>
      <c r="CH489" s="208"/>
      <c r="CI489" s="208"/>
      <c r="CJ489" s="208"/>
      <c r="CK489" s="208"/>
      <c r="CL489" s="208"/>
      <c r="CM489" s="208"/>
      <c r="CN489" s="208"/>
      <c r="CO489" s="208"/>
      <c r="CP489" s="208"/>
      <c r="CQ489" s="208"/>
      <c r="CR489" s="208"/>
      <c r="CS489" s="208"/>
      <c r="CT489" s="208"/>
      <c r="CU489" s="208"/>
      <c r="CV489" s="208"/>
      <c r="CW489" s="208"/>
      <c r="CX489" s="208"/>
      <c r="CY489" s="208"/>
      <c r="CZ489" s="208"/>
      <c r="DA489" s="208"/>
      <c r="DB489" s="208"/>
      <c r="DC489" s="208"/>
      <c r="DD489" s="208"/>
      <c r="DE489" s="208"/>
      <c r="DF489" s="208"/>
      <c r="DG489" s="208"/>
      <c r="DH489" s="208"/>
      <c r="DI489" s="208"/>
      <c r="DJ489" s="208"/>
      <c r="DK489" s="208"/>
      <c r="DL489" s="208"/>
      <c r="DM489" s="208"/>
      <c r="DN489" s="208"/>
      <c r="DO489" s="208"/>
      <c r="DP489" s="208"/>
      <c r="DQ489" s="208"/>
      <c r="DR489" s="208"/>
      <c r="DS489" s="208"/>
      <c r="DT489" s="208"/>
      <c r="DU489" s="208"/>
      <c r="DV489" s="208"/>
      <c r="DW489" s="208"/>
      <c r="DX489" s="208"/>
      <c r="DY489" s="208"/>
      <c r="DZ489" s="208"/>
      <c r="EA489" s="208"/>
      <c r="EB489" s="208"/>
      <c r="EC489" s="208"/>
      <c r="ED489" s="208"/>
      <c r="EE489" s="208"/>
      <c r="EF489" s="208"/>
      <c r="EG489" s="208"/>
      <c r="EH489" s="208"/>
      <c r="EI489" s="208"/>
      <c r="EJ489" s="208"/>
      <c r="EK489" s="208"/>
      <c r="EL489" s="208"/>
      <c r="EM489" s="208"/>
      <c r="EN489" s="208"/>
      <c r="EO489" s="208"/>
      <c r="EP489" s="208"/>
      <c r="EQ489" s="208"/>
      <c r="ER489" s="208"/>
      <c r="ES489" s="208"/>
      <c r="ET489" s="208"/>
      <c r="EU489" s="208"/>
      <c r="EV489" s="208"/>
      <c r="EW489" s="208"/>
      <c r="EX489" s="208"/>
      <c r="EY489" s="208"/>
      <c r="EZ489" s="208"/>
      <c r="FA489" s="208"/>
      <c r="FB489" s="208"/>
      <c r="FC489" s="208"/>
      <c r="FD489" s="208"/>
      <c r="FE489" s="208"/>
      <c r="FF489" s="208"/>
      <c r="FG489" s="208"/>
      <c r="FH489" s="208"/>
      <c r="FI489" s="208"/>
      <c r="FJ489" s="208"/>
      <c r="FK489" s="208"/>
      <c r="FL489" s="208"/>
      <c r="FM489" s="208"/>
      <c r="FN489" s="208"/>
      <c r="FO489" s="208"/>
      <c r="FP489" s="208"/>
      <c r="FQ489" s="208"/>
      <c r="FR489" s="208"/>
      <c r="FS489" s="208"/>
      <c r="FT489" s="208"/>
      <c r="FU489" s="208"/>
      <c r="FV489" s="208"/>
      <c r="FW489" s="208"/>
      <c r="FX489" s="208"/>
      <c r="FY489" s="208"/>
      <c r="FZ489" s="208"/>
      <c r="GA489" s="208"/>
      <c r="GB489" s="208"/>
      <c r="GC489" s="208"/>
      <c r="GD489" s="208"/>
      <c r="GE489" s="208"/>
      <c r="GF489" s="208"/>
      <c r="GG489" s="208"/>
      <c r="GH489" s="208"/>
      <c r="GI489" s="208"/>
      <c r="GJ489" s="208"/>
      <c r="GK489" s="208"/>
      <c r="GL489" s="208"/>
      <c r="GM489" s="208"/>
      <c r="GN489" s="208"/>
      <c r="GO489" s="208"/>
      <c r="GP489" s="208"/>
      <c r="GQ489" s="208"/>
      <c r="GR489" s="208"/>
      <c r="GS489" s="208"/>
      <c r="GT489" s="208"/>
      <c r="GU489" s="208"/>
      <c r="GV489" s="208"/>
      <c r="GW489" s="208"/>
      <c r="GX489" s="208"/>
    </row>
    <row r="490" spans="1:206" s="47" customFormat="1" ht="15.75">
      <c r="A490" s="208"/>
      <c r="B490" s="143" t="s">
        <v>250</v>
      </c>
      <c r="C490" s="189"/>
      <c r="D490" s="90">
        <v>1.6</v>
      </c>
      <c r="E490" s="90">
        <v>1.6</v>
      </c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91"/>
      <c r="R490" s="191"/>
      <c r="S490" s="189"/>
      <c r="T490" s="189"/>
      <c r="U490" s="64">
        <v>264</v>
      </c>
      <c r="V490" s="60">
        <f>D490*U490/1000</f>
        <v>0.42240000000000005</v>
      </c>
      <c r="W490" s="20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/>
      <c r="AH490" s="208"/>
      <c r="AI490" s="208"/>
      <c r="AJ490" s="208"/>
      <c r="AK490" s="208"/>
      <c r="AL490" s="208"/>
      <c r="AM490" s="208"/>
      <c r="AN490" s="208"/>
      <c r="AO490" s="208"/>
      <c r="AP490" s="208"/>
      <c r="AQ490" s="208"/>
      <c r="AR490" s="208"/>
      <c r="AS490" s="208"/>
      <c r="AT490" s="208"/>
      <c r="AU490" s="208"/>
      <c r="AV490" s="208"/>
      <c r="AW490" s="208"/>
      <c r="AX490" s="208"/>
      <c r="AY490" s="208"/>
      <c r="AZ490" s="208"/>
      <c r="BA490" s="208"/>
      <c r="BB490" s="208"/>
      <c r="BC490" s="208"/>
      <c r="BD490" s="208"/>
      <c r="BE490" s="208"/>
      <c r="BF490" s="208"/>
      <c r="BG490" s="208"/>
      <c r="BH490" s="208"/>
      <c r="BI490" s="208"/>
      <c r="BJ490" s="208"/>
      <c r="BK490" s="208"/>
      <c r="BL490" s="208"/>
      <c r="BM490" s="208"/>
      <c r="BN490" s="208"/>
      <c r="BO490" s="208"/>
      <c r="BP490" s="208"/>
      <c r="BQ490" s="208"/>
      <c r="BR490" s="208"/>
      <c r="BS490" s="208"/>
      <c r="BT490" s="208"/>
      <c r="BU490" s="208"/>
      <c r="BV490" s="208"/>
      <c r="BW490" s="208"/>
      <c r="BX490" s="208"/>
      <c r="BY490" s="208"/>
      <c r="BZ490" s="208"/>
      <c r="CA490" s="208"/>
      <c r="CB490" s="208"/>
      <c r="CC490" s="208"/>
      <c r="CD490" s="208"/>
      <c r="CE490" s="208"/>
      <c r="CF490" s="208"/>
      <c r="CG490" s="208"/>
      <c r="CH490" s="208"/>
      <c r="CI490" s="208"/>
      <c r="CJ490" s="208"/>
      <c r="CK490" s="208"/>
      <c r="CL490" s="208"/>
      <c r="CM490" s="208"/>
      <c r="CN490" s="208"/>
      <c r="CO490" s="208"/>
      <c r="CP490" s="208"/>
      <c r="CQ490" s="208"/>
      <c r="CR490" s="208"/>
      <c r="CS490" s="208"/>
      <c r="CT490" s="208"/>
      <c r="CU490" s="208"/>
      <c r="CV490" s="208"/>
      <c r="CW490" s="208"/>
      <c r="CX490" s="208"/>
      <c r="CY490" s="208"/>
      <c r="CZ490" s="208"/>
      <c r="DA490" s="208"/>
      <c r="DB490" s="208"/>
      <c r="DC490" s="208"/>
      <c r="DD490" s="208"/>
      <c r="DE490" s="208"/>
      <c r="DF490" s="208"/>
      <c r="DG490" s="208"/>
      <c r="DH490" s="208"/>
      <c r="DI490" s="208"/>
      <c r="DJ490" s="208"/>
      <c r="DK490" s="208"/>
      <c r="DL490" s="208"/>
      <c r="DM490" s="208"/>
      <c r="DN490" s="208"/>
      <c r="DO490" s="208"/>
      <c r="DP490" s="208"/>
      <c r="DQ490" s="208"/>
      <c r="DR490" s="208"/>
      <c r="DS490" s="208"/>
      <c r="DT490" s="208"/>
      <c r="DU490" s="208"/>
      <c r="DV490" s="208"/>
      <c r="DW490" s="208"/>
      <c r="DX490" s="208"/>
      <c r="DY490" s="208"/>
      <c r="DZ490" s="208"/>
      <c r="EA490" s="208"/>
      <c r="EB490" s="208"/>
      <c r="EC490" s="208"/>
      <c r="ED490" s="208"/>
      <c r="EE490" s="208"/>
      <c r="EF490" s="208"/>
      <c r="EG490" s="208"/>
      <c r="EH490" s="208"/>
      <c r="EI490" s="208"/>
      <c r="EJ490" s="208"/>
      <c r="EK490" s="208"/>
      <c r="EL490" s="208"/>
      <c r="EM490" s="208"/>
      <c r="EN490" s="208"/>
      <c r="EO490" s="208"/>
      <c r="EP490" s="208"/>
      <c r="EQ490" s="208"/>
      <c r="ER490" s="208"/>
      <c r="ES490" s="208"/>
      <c r="ET490" s="208"/>
      <c r="EU490" s="208"/>
      <c r="EV490" s="208"/>
      <c r="EW490" s="208"/>
      <c r="EX490" s="208"/>
      <c r="EY490" s="208"/>
      <c r="EZ490" s="208"/>
      <c r="FA490" s="208"/>
      <c r="FB490" s="208"/>
      <c r="FC490" s="208"/>
      <c r="FD490" s="208"/>
      <c r="FE490" s="208"/>
      <c r="FF490" s="208"/>
      <c r="FG490" s="208"/>
      <c r="FH490" s="208"/>
      <c r="FI490" s="208"/>
      <c r="FJ490" s="208"/>
      <c r="FK490" s="208"/>
      <c r="FL490" s="208"/>
      <c r="FM490" s="208"/>
      <c r="FN490" s="208"/>
      <c r="FO490" s="208"/>
      <c r="FP490" s="208"/>
      <c r="FQ490" s="208"/>
      <c r="FR490" s="208"/>
      <c r="FS490" s="208"/>
      <c r="FT490" s="208"/>
      <c r="FU490" s="208"/>
      <c r="FV490" s="208"/>
      <c r="FW490" s="208"/>
      <c r="FX490" s="208"/>
      <c r="FY490" s="208"/>
      <c r="FZ490" s="208"/>
      <c r="GA490" s="208"/>
      <c r="GB490" s="208"/>
      <c r="GC490" s="208"/>
      <c r="GD490" s="208"/>
      <c r="GE490" s="208"/>
      <c r="GF490" s="208"/>
      <c r="GG490" s="208"/>
      <c r="GH490" s="208"/>
      <c r="GI490" s="208"/>
      <c r="GJ490" s="208"/>
      <c r="GK490" s="208"/>
      <c r="GL490" s="208"/>
      <c r="GM490" s="208"/>
      <c r="GN490" s="208"/>
      <c r="GO490" s="208"/>
      <c r="GP490" s="208"/>
      <c r="GQ490" s="208"/>
      <c r="GR490" s="208"/>
      <c r="GS490" s="208"/>
      <c r="GT490" s="208"/>
      <c r="GU490" s="208"/>
      <c r="GV490" s="208"/>
      <c r="GW490" s="208"/>
      <c r="GX490" s="208"/>
    </row>
    <row r="491" spans="1:206" s="47" customFormat="1" ht="15.75">
      <c r="A491" s="208"/>
      <c r="B491" s="143" t="s">
        <v>14</v>
      </c>
      <c r="C491" s="189"/>
      <c r="D491" s="90">
        <v>0.25</v>
      </c>
      <c r="E491" s="90">
        <v>0.25</v>
      </c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91"/>
      <c r="R491" s="191"/>
      <c r="S491" s="189"/>
      <c r="T491" s="189"/>
      <c r="U491" s="64">
        <v>11.9</v>
      </c>
      <c r="V491" s="60">
        <f>D491*U491/1000</f>
        <v>0.002975</v>
      </c>
      <c r="W491" s="20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/>
      <c r="AH491" s="208"/>
      <c r="AI491" s="208"/>
      <c r="AJ491" s="208"/>
      <c r="AK491" s="208"/>
      <c r="AL491" s="208"/>
      <c r="AM491" s="208"/>
      <c r="AN491" s="208"/>
      <c r="AO491" s="208"/>
      <c r="AP491" s="208"/>
      <c r="AQ491" s="208"/>
      <c r="AR491" s="208"/>
      <c r="AS491" s="208"/>
      <c r="AT491" s="208"/>
      <c r="AU491" s="208"/>
      <c r="AV491" s="208"/>
      <c r="AW491" s="208"/>
      <c r="AX491" s="208"/>
      <c r="AY491" s="208"/>
      <c r="AZ491" s="208"/>
      <c r="BA491" s="208"/>
      <c r="BB491" s="208"/>
      <c r="BC491" s="208"/>
      <c r="BD491" s="208"/>
      <c r="BE491" s="208"/>
      <c r="BF491" s="208"/>
      <c r="BG491" s="208"/>
      <c r="BH491" s="208"/>
      <c r="BI491" s="208"/>
      <c r="BJ491" s="208"/>
      <c r="BK491" s="208"/>
      <c r="BL491" s="208"/>
      <c r="BM491" s="208"/>
      <c r="BN491" s="208"/>
      <c r="BO491" s="208"/>
      <c r="BP491" s="208"/>
      <c r="BQ491" s="208"/>
      <c r="BR491" s="208"/>
      <c r="BS491" s="208"/>
      <c r="BT491" s="208"/>
      <c r="BU491" s="208"/>
      <c r="BV491" s="208"/>
      <c r="BW491" s="208"/>
      <c r="BX491" s="208"/>
      <c r="BY491" s="208"/>
      <c r="BZ491" s="208"/>
      <c r="CA491" s="208"/>
      <c r="CB491" s="208"/>
      <c r="CC491" s="208"/>
      <c r="CD491" s="208"/>
      <c r="CE491" s="208"/>
      <c r="CF491" s="208"/>
      <c r="CG491" s="208"/>
      <c r="CH491" s="208"/>
      <c r="CI491" s="208"/>
      <c r="CJ491" s="208"/>
      <c r="CK491" s="208"/>
      <c r="CL491" s="208"/>
      <c r="CM491" s="208"/>
      <c r="CN491" s="208"/>
      <c r="CO491" s="208"/>
      <c r="CP491" s="208"/>
      <c r="CQ491" s="208"/>
      <c r="CR491" s="208"/>
      <c r="CS491" s="208"/>
      <c r="CT491" s="208"/>
      <c r="CU491" s="208"/>
      <c r="CV491" s="208"/>
      <c r="CW491" s="208"/>
      <c r="CX491" s="208"/>
      <c r="CY491" s="208"/>
      <c r="CZ491" s="208"/>
      <c r="DA491" s="208"/>
      <c r="DB491" s="208"/>
      <c r="DC491" s="208"/>
      <c r="DD491" s="208"/>
      <c r="DE491" s="208"/>
      <c r="DF491" s="208"/>
      <c r="DG491" s="208"/>
      <c r="DH491" s="208"/>
      <c r="DI491" s="208"/>
      <c r="DJ491" s="208"/>
      <c r="DK491" s="208"/>
      <c r="DL491" s="208"/>
      <c r="DM491" s="208"/>
      <c r="DN491" s="208"/>
      <c r="DO491" s="208"/>
      <c r="DP491" s="208"/>
      <c r="DQ491" s="208"/>
      <c r="DR491" s="208"/>
      <c r="DS491" s="208"/>
      <c r="DT491" s="208"/>
      <c r="DU491" s="208"/>
      <c r="DV491" s="208"/>
      <c r="DW491" s="208"/>
      <c r="DX491" s="208"/>
      <c r="DY491" s="208"/>
      <c r="DZ491" s="208"/>
      <c r="EA491" s="208"/>
      <c r="EB491" s="208"/>
      <c r="EC491" s="208"/>
      <c r="ED491" s="208"/>
      <c r="EE491" s="208"/>
      <c r="EF491" s="208"/>
      <c r="EG491" s="208"/>
      <c r="EH491" s="208"/>
      <c r="EI491" s="208"/>
      <c r="EJ491" s="208"/>
      <c r="EK491" s="208"/>
      <c r="EL491" s="208"/>
      <c r="EM491" s="208"/>
      <c r="EN491" s="208"/>
      <c r="EO491" s="208"/>
      <c r="EP491" s="208"/>
      <c r="EQ491" s="208"/>
      <c r="ER491" s="208"/>
      <c r="ES491" s="208"/>
      <c r="ET491" s="208"/>
      <c r="EU491" s="208"/>
      <c r="EV491" s="208"/>
      <c r="EW491" s="208"/>
      <c r="EX491" s="208"/>
      <c r="EY491" s="208"/>
      <c r="EZ491" s="208"/>
      <c r="FA491" s="208"/>
      <c r="FB491" s="208"/>
      <c r="FC491" s="208"/>
      <c r="FD491" s="208"/>
      <c r="FE491" s="208"/>
      <c r="FF491" s="208"/>
      <c r="FG491" s="208"/>
      <c r="FH491" s="208"/>
      <c r="FI491" s="208"/>
      <c r="FJ491" s="208"/>
      <c r="FK491" s="208"/>
      <c r="FL491" s="208"/>
      <c r="FM491" s="208"/>
      <c r="FN491" s="208"/>
      <c r="FO491" s="208"/>
      <c r="FP491" s="208"/>
      <c r="FQ491" s="208"/>
      <c r="FR491" s="208"/>
      <c r="FS491" s="208"/>
      <c r="FT491" s="208"/>
      <c r="FU491" s="208"/>
      <c r="FV491" s="208"/>
      <c r="FW491" s="208"/>
      <c r="FX491" s="208"/>
      <c r="FY491" s="208"/>
      <c r="FZ491" s="208"/>
      <c r="GA491" s="208"/>
      <c r="GB491" s="208"/>
      <c r="GC491" s="208"/>
      <c r="GD491" s="208"/>
      <c r="GE491" s="208"/>
      <c r="GF491" s="208"/>
      <c r="GG491" s="208"/>
      <c r="GH491" s="208"/>
      <c r="GI491" s="208"/>
      <c r="GJ491" s="208"/>
      <c r="GK491" s="208"/>
      <c r="GL491" s="208"/>
      <c r="GM491" s="208"/>
      <c r="GN491" s="208"/>
      <c r="GO491" s="208"/>
      <c r="GP491" s="208"/>
      <c r="GQ491" s="208"/>
      <c r="GR491" s="208"/>
      <c r="GS491" s="208"/>
      <c r="GT491" s="208"/>
      <c r="GU491" s="208"/>
      <c r="GV491" s="208"/>
      <c r="GW491" s="208"/>
      <c r="GX491" s="208"/>
    </row>
    <row r="492" spans="1:206" s="47" customFormat="1" ht="31.5">
      <c r="A492" s="43"/>
      <c r="B492" s="146" t="s">
        <v>152</v>
      </c>
      <c r="C492" s="33">
        <v>180</v>
      </c>
      <c r="D492" s="33"/>
      <c r="E492" s="33"/>
      <c r="F492" s="33">
        <v>6.2</v>
      </c>
      <c r="G492" s="33">
        <v>7.2</v>
      </c>
      <c r="H492" s="33">
        <v>34.2</v>
      </c>
      <c r="I492" s="33">
        <v>199</v>
      </c>
      <c r="J492" s="33">
        <v>3.4</v>
      </c>
      <c r="K492" s="194"/>
      <c r="L492" s="194"/>
      <c r="M492" s="194"/>
      <c r="N492" s="194"/>
      <c r="O492" s="194"/>
      <c r="P492" s="194"/>
      <c r="Q492" s="195"/>
      <c r="R492" s="195"/>
      <c r="S492" s="194"/>
      <c r="T492" s="194"/>
      <c r="U492" s="34"/>
      <c r="V492" s="34">
        <f>SUM(V493:V499)</f>
        <v>12.068620000000001</v>
      </c>
      <c r="W492" s="20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/>
      <c r="AH492" s="208"/>
      <c r="AI492" s="208"/>
      <c r="AJ492" s="208"/>
      <c r="AK492" s="208"/>
      <c r="AL492" s="208"/>
      <c r="AM492" s="208"/>
      <c r="AN492" s="208"/>
      <c r="AO492" s="208"/>
      <c r="AP492" s="208"/>
      <c r="AQ492" s="208"/>
      <c r="AR492" s="208"/>
      <c r="AS492" s="208"/>
      <c r="AT492" s="208"/>
      <c r="AU492" s="208"/>
      <c r="AV492" s="208"/>
      <c r="AW492" s="208"/>
      <c r="AX492" s="208"/>
      <c r="AY492" s="208"/>
      <c r="AZ492" s="208"/>
      <c r="BA492" s="208"/>
      <c r="BB492" s="208"/>
      <c r="BC492" s="208"/>
      <c r="BD492" s="208"/>
      <c r="BE492" s="208"/>
      <c r="BF492" s="208"/>
      <c r="BG492" s="208"/>
      <c r="BH492" s="208"/>
      <c r="BI492" s="208"/>
      <c r="BJ492" s="208"/>
      <c r="BK492" s="208"/>
      <c r="BL492" s="208"/>
      <c r="BM492" s="208"/>
      <c r="BN492" s="208"/>
      <c r="BO492" s="208"/>
      <c r="BP492" s="208"/>
      <c r="BQ492" s="208"/>
      <c r="BR492" s="208"/>
      <c r="BS492" s="208"/>
      <c r="BT492" s="208"/>
      <c r="BU492" s="208"/>
      <c r="BV492" s="208"/>
      <c r="BW492" s="208"/>
      <c r="BX492" s="208"/>
      <c r="BY492" s="208"/>
      <c r="BZ492" s="208"/>
      <c r="CA492" s="208"/>
      <c r="CB492" s="208"/>
      <c r="CC492" s="208"/>
      <c r="CD492" s="208"/>
      <c r="CE492" s="208"/>
      <c r="CF492" s="208"/>
      <c r="CG492" s="208"/>
      <c r="CH492" s="208"/>
      <c r="CI492" s="208"/>
      <c r="CJ492" s="208"/>
      <c r="CK492" s="208"/>
      <c r="CL492" s="208"/>
      <c r="CM492" s="208"/>
      <c r="CN492" s="208"/>
      <c r="CO492" s="208"/>
      <c r="CP492" s="208"/>
      <c r="CQ492" s="208"/>
      <c r="CR492" s="208"/>
      <c r="CS492" s="208"/>
      <c r="CT492" s="208"/>
      <c r="CU492" s="208"/>
      <c r="CV492" s="208"/>
      <c r="CW492" s="208"/>
      <c r="CX492" s="208"/>
      <c r="CY492" s="208"/>
      <c r="CZ492" s="208"/>
      <c r="DA492" s="208"/>
      <c r="DB492" s="208"/>
      <c r="DC492" s="208"/>
      <c r="DD492" s="208"/>
      <c r="DE492" s="208"/>
      <c r="DF492" s="208"/>
      <c r="DG492" s="208"/>
      <c r="DH492" s="208"/>
      <c r="DI492" s="208"/>
      <c r="DJ492" s="208"/>
      <c r="DK492" s="208"/>
      <c r="DL492" s="208"/>
      <c r="DM492" s="208"/>
      <c r="DN492" s="208"/>
      <c r="DO492" s="208"/>
      <c r="DP492" s="208"/>
      <c r="DQ492" s="208"/>
      <c r="DR492" s="208"/>
      <c r="DS492" s="208"/>
      <c r="DT492" s="208"/>
      <c r="DU492" s="208"/>
      <c r="DV492" s="208"/>
      <c r="DW492" s="208"/>
      <c r="DX492" s="208"/>
      <c r="DY492" s="208"/>
      <c r="DZ492" s="208"/>
      <c r="EA492" s="208"/>
      <c r="EB492" s="208"/>
      <c r="EC492" s="208"/>
      <c r="ED492" s="208"/>
      <c r="EE492" s="208"/>
      <c r="EF492" s="208"/>
      <c r="EG492" s="208"/>
      <c r="EH492" s="208"/>
      <c r="EI492" s="208"/>
      <c r="EJ492" s="208"/>
      <c r="EK492" s="208"/>
      <c r="EL492" s="208"/>
      <c r="EM492" s="208"/>
      <c r="EN492" s="208"/>
      <c r="EO492" s="208"/>
      <c r="EP492" s="208"/>
      <c r="EQ492" s="208"/>
      <c r="ER492" s="208"/>
      <c r="ES492" s="208"/>
      <c r="ET492" s="208"/>
      <c r="EU492" s="208"/>
      <c r="EV492" s="208"/>
      <c r="EW492" s="208"/>
      <c r="EX492" s="208"/>
      <c r="EY492" s="208"/>
      <c r="EZ492" s="208"/>
      <c r="FA492" s="208"/>
      <c r="FB492" s="208"/>
      <c r="FC492" s="208"/>
      <c r="FD492" s="208"/>
      <c r="FE492" s="208"/>
      <c r="FF492" s="208"/>
      <c r="FG492" s="208"/>
      <c r="FH492" s="208"/>
      <c r="FI492" s="208"/>
      <c r="FJ492" s="208"/>
      <c r="FK492" s="208"/>
      <c r="FL492" s="208"/>
      <c r="FM492" s="208"/>
      <c r="FN492" s="208"/>
      <c r="FO492" s="208"/>
      <c r="FP492" s="208"/>
      <c r="FQ492" s="208"/>
      <c r="FR492" s="208"/>
      <c r="FS492" s="208"/>
      <c r="FT492" s="208"/>
      <c r="FU492" s="208"/>
      <c r="FV492" s="208"/>
      <c r="FW492" s="208"/>
      <c r="FX492" s="208"/>
      <c r="FY492" s="208"/>
      <c r="FZ492" s="208"/>
      <c r="GA492" s="208"/>
      <c r="GB492" s="208"/>
      <c r="GC492" s="208"/>
      <c r="GD492" s="208"/>
      <c r="GE492" s="208"/>
      <c r="GF492" s="208"/>
      <c r="GG492" s="208"/>
      <c r="GH492" s="208"/>
      <c r="GI492" s="208"/>
      <c r="GJ492" s="208"/>
      <c r="GK492" s="208"/>
      <c r="GL492" s="208"/>
      <c r="GM492" s="208"/>
      <c r="GN492" s="208"/>
      <c r="GO492" s="208"/>
      <c r="GP492" s="208"/>
      <c r="GQ492" s="208"/>
      <c r="GR492" s="208"/>
      <c r="GS492" s="208"/>
      <c r="GT492" s="208"/>
      <c r="GU492" s="208"/>
      <c r="GV492" s="208"/>
      <c r="GW492" s="208"/>
      <c r="GX492" s="208"/>
    </row>
    <row r="493" spans="1:22" s="43" customFormat="1" ht="15.75">
      <c r="A493" s="6"/>
      <c r="B493" s="154" t="s">
        <v>100</v>
      </c>
      <c r="C493" s="40"/>
      <c r="D493" s="69">
        <v>50</v>
      </c>
      <c r="E493" s="69">
        <v>50</v>
      </c>
      <c r="F493" s="71"/>
      <c r="G493" s="71"/>
      <c r="H493" s="71"/>
      <c r="I493" s="71"/>
      <c r="J493" s="71"/>
      <c r="K493" s="40"/>
      <c r="L493" s="41"/>
      <c r="M493" s="41">
        <v>3.3</v>
      </c>
      <c r="N493" s="40">
        <v>0.07</v>
      </c>
      <c r="O493" s="74">
        <v>0</v>
      </c>
      <c r="P493" s="41">
        <v>3.7</v>
      </c>
      <c r="Q493" s="97">
        <v>23.3</v>
      </c>
      <c r="R493" s="74">
        <v>31.05</v>
      </c>
      <c r="S493" s="40">
        <v>20.8</v>
      </c>
      <c r="T493" s="40">
        <v>1.2</v>
      </c>
      <c r="U493" s="60">
        <v>134.42</v>
      </c>
      <c r="V493" s="60">
        <f>D493*U493/1000</f>
        <v>6.720999999999999</v>
      </c>
    </row>
    <row r="494" spans="2:22" s="6" customFormat="1" ht="15.75">
      <c r="B494" s="154" t="s">
        <v>58</v>
      </c>
      <c r="C494" s="40"/>
      <c r="D494" s="69">
        <v>2</v>
      </c>
      <c r="E494" s="69">
        <v>2</v>
      </c>
      <c r="F494" s="71"/>
      <c r="G494" s="71"/>
      <c r="H494" s="71"/>
      <c r="I494" s="71"/>
      <c r="J494" s="71"/>
      <c r="K494" s="69"/>
      <c r="L494" s="86"/>
      <c r="M494" s="71"/>
      <c r="N494" s="71"/>
      <c r="O494" s="71"/>
      <c r="P494" s="71"/>
      <c r="Q494" s="153"/>
      <c r="R494" s="153"/>
      <c r="S494" s="71"/>
      <c r="T494" s="71"/>
      <c r="U494" s="60">
        <v>653.09</v>
      </c>
      <c r="V494" s="60">
        <f aca="true" t="shared" si="37" ref="V494:V499">D494*U494/1000</f>
        <v>1.3061800000000001</v>
      </c>
    </row>
    <row r="495" spans="2:22" s="6" customFormat="1" ht="15.75">
      <c r="B495" s="154" t="s">
        <v>55</v>
      </c>
      <c r="C495" s="40"/>
      <c r="D495" s="69">
        <v>24</v>
      </c>
      <c r="E495" s="69">
        <v>20</v>
      </c>
      <c r="F495" s="71"/>
      <c r="G495" s="71"/>
      <c r="H495" s="71"/>
      <c r="I495" s="71"/>
      <c r="J495" s="71"/>
      <c r="K495" s="69"/>
      <c r="L495" s="86"/>
      <c r="M495" s="71"/>
      <c r="N495" s="71"/>
      <c r="O495" s="71"/>
      <c r="P495" s="71"/>
      <c r="Q495" s="153"/>
      <c r="R495" s="153"/>
      <c r="S495" s="71"/>
      <c r="T495" s="71"/>
      <c r="U495" s="60">
        <v>32.75</v>
      </c>
      <c r="V495" s="60">
        <f t="shared" si="37"/>
        <v>0.786</v>
      </c>
    </row>
    <row r="496" spans="2:22" s="6" customFormat="1" ht="15.75">
      <c r="B496" s="154" t="s">
        <v>133</v>
      </c>
      <c r="C496" s="40"/>
      <c r="D496" s="69">
        <v>32</v>
      </c>
      <c r="E496" s="69">
        <v>26</v>
      </c>
      <c r="F496" s="71"/>
      <c r="G496" s="71"/>
      <c r="H496" s="71"/>
      <c r="I496" s="71"/>
      <c r="J496" s="71"/>
      <c r="K496" s="69"/>
      <c r="L496" s="86"/>
      <c r="M496" s="71"/>
      <c r="N496" s="71"/>
      <c r="O496" s="71"/>
      <c r="P496" s="71"/>
      <c r="Q496" s="153"/>
      <c r="R496" s="153"/>
      <c r="S496" s="71"/>
      <c r="T496" s="71"/>
      <c r="U496" s="60">
        <v>81.72</v>
      </c>
      <c r="V496" s="60">
        <f t="shared" si="37"/>
        <v>2.61504</v>
      </c>
    </row>
    <row r="497" spans="2:22" s="6" customFormat="1" ht="15.75">
      <c r="B497" s="154" t="s">
        <v>104</v>
      </c>
      <c r="C497" s="40"/>
      <c r="D497" s="69">
        <v>35</v>
      </c>
      <c r="E497" s="69">
        <v>26</v>
      </c>
      <c r="F497" s="71"/>
      <c r="G497" s="71"/>
      <c r="H497" s="71"/>
      <c r="I497" s="71"/>
      <c r="J497" s="71"/>
      <c r="K497" s="69"/>
      <c r="L497" s="86"/>
      <c r="M497" s="71"/>
      <c r="N497" s="71"/>
      <c r="O497" s="71"/>
      <c r="P497" s="71"/>
      <c r="Q497" s="153"/>
      <c r="R497" s="153"/>
      <c r="S497" s="71"/>
      <c r="T497" s="71"/>
      <c r="U497" s="60"/>
      <c r="V497" s="60">
        <f t="shared" si="37"/>
        <v>0</v>
      </c>
    </row>
    <row r="498" spans="2:22" s="6" customFormat="1" ht="15.75">
      <c r="B498" s="154" t="s">
        <v>57</v>
      </c>
      <c r="C498" s="40"/>
      <c r="D498" s="69">
        <v>5</v>
      </c>
      <c r="E498" s="69">
        <v>5</v>
      </c>
      <c r="F498" s="71"/>
      <c r="G498" s="71"/>
      <c r="H498" s="71"/>
      <c r="I498" s="71"/>
      <c r="J498" s="71"/>
      <c r="K498" s="69"/>
      <c r="L498" s="86"/>
      <c r="M498" s="71"/>
      <c r="N498" s="71"/>
      <c r="O498" s="71"/>
      <c r="P498" s="71"/>
      <c r="Q498" s="153"/>
      <c r="R498" s="153"/>
      <c r="S498" s="71"/>
      <c r="T498" s="71"/>
      <c r="U498" s="60">
        <v>125.7</v>
      </c>
      <c r="V498" s="60">
        <f t="shared" si="37"/>
        <v>0.6285</v>
      </c>
    </row>
    <row r="499" spans="1:22" s="6" customFormat="1" ht="15.75">
      <c r="A499" s="45"/>
      <c r="B499" s="140" t="s">
        <v>14</v>
      </c>
      <c r="C499" s="33"/>
      <c r="D499" s="35">
        <v>1</v>
      </c>
      <c r="E499" s="35">
        <v>1</v>
      </c>
      <c r="F499" s="36"/>
      <c r="G499" s="36"/>
      <c r="H499" s="36"/>
      <c r="I499" s="36"/>
      <c r="J499" s="36"/>
      <c r="K499" s="69"/>
      <c r="L499" s="86"/>
      <c r="M499" s="71"/>
      <c r="N499" s="71"/>
      <c r="O499" s="71"/>
      <c r="P499" s="71"/>
      <c r="Q499" s="153"/>
      <c r="R499" s="153"/>
      <c r="S499" s="71"/>
      <c r="T499" s="71"/>
      <c r="U499" s="60">
        <v>11.9</v>
      </c>
      <c r="V499" s="60">
        <f t="shared" si="37"/>
        <v>0.0119</v>
      </c>
    </row>
    <row r="500" spans="1:206" s="45" customFormat="1" ht="15.75">
      <c r="A500" s="345"/>
      <c r="B500" s="371" t="s">
        <v>125</v>
      </c>
      <c r="C500" s="40">
        <v>200</v>
      </c>
      <c r="D500" s="40"/>
      <c r="E500" s="40"/>
      <c r="F500" s="40">
        <v>4.07</v>
      </c>
      <c r="G500" s="40">
        <v>3.5</v>
      </c>
      <c r="H500" s="40">
        <v>9</v>
      </c>
      <c r="I500" s="40">
        <v>109</v>
      </c>
      <c r="J500" s="40">
        <v>0.9</v>
      </c>
      <c r="K500" s="35"/>
      <c r="L500" s="86"/>
      <c r="M500" s="36"/>
      <c r="N500" s="36"/>
      <c r="O500" s="36"/>
      <c r="P500" s="36"/>
      <c r="Q500" s="173"/>
      <c r="R500" s="173"/>
      <c r="S500" s="36"/>
      <c r="T500" s="36"/>
      <c r="U500" s="34"/>
      <c r="V500" s="34">
        <f>SUM(V501:V503)</f>
        <v>8.468</v>
      </c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</row>
    <row r="501" spans="1:22" s="43" customFormat="1" ht="15.75">
      <c r="A501" s="354"/>
      <c r="B501" s="372" t="s">
        <v>92</v>
      </c>
      <c r="C501" s="40"/>
      <c r="D501" s="69">
        <v>5</v>
      </c>
      <c r="E501" s="69">
        <v>5</v>
      </c>
      <c r="F501" s="71"/>
      <c r="G501" s="71"/>
      <c r="H501" s="71"/>
      <c r="I501" s="71"/>
      <c r="J501" s="71"/>
      <c r="K501" s="40"/>
      <c r="L501" s="41"/>
      <c r="M501" s="42">
        <v>1.6</v>
      </c>
      <c r="N501" s="40">
        <v>0.05</v>
      </c>
      <c r="O501" s="107">
        <v>18</v>
      </c>
      <c r="P501" s="40">
        <v>0.01</v>
      </c>
      <c r="Q501" s="97">
        <v>152.2</v>
      </c>
      <c r="R501" s="87">
        <v>125</v>
      </c>
      <c r="S501" s="40">
        <v>21.34</v>
      </c>
      <c r="T501" s="40">
        <v>0.5</v>
      </c>
      <c r="U501" s="60">
        <v>590</v>
      </c>
      <c r="V501" s="60">
        <f>D501*U501/1000</f>
        <v>2.95</v>
      </c>
    </row>
    <row r="502" spans="1:22" s="6" customFormat="1" ht="15.75">
      <c r="A502" s="354"/>
      <c r="B502" s="372" t="s">
        <v>54</v>
      </c>
      <c r="C502" s="40"/>
      <c r="D502" s="69">
        <v>100</v>
      </c>
      <c r="E502" s="69">
        <v>100</v>
      </c>
      <c r="F502" s="71"/>
      <c r="G502" s="71"/>
      <c r="H502" s="71"/>
      <c r="I502" s="71"/>
      <c r="J502" s="71"/>
      <c r="K502" s="69"/>
      <c r="L502" s="86"/>
      <c r="M502" s="189"/>
      <c r="N502" s="71"/>
      <c r="O502" s="190"/>
      <c r="P502" s="71"/>
      <c r="Q502" s="191"/>
      <c r="R502" s="153"/>
      <c r="S502" s="71"/>
      <c r="T502" s="71"/>
      <c r="U502" s="60"/>
      <c r="V502" s="60">
        <f>D502*U502/1000</f>
        <v>0</v>
      </c>
    </row>
    <row r="503" spans="1:22" s="6" customFormat="1" ht="15.75">
      <c r="A503" s="354"/>
      <c r="B503" s="372" t="s">
        <v>86</v>
      </c>
      <c r="C503" s="40"/>
      <c r="D503" s="69">
        <v>100</v>
      </c>
      <c r="E503" s="69">
        <v>100</v>
      </c>
      <c r="F503" s="71"/>
      <c r="G503" s="71"/>
      <c r="H503" s="71"/>
      <c r="I503" s="71"/>
      <c r="J503" s="71"/>
      <c r="K503" s="69"/>
      <c r="L503" s="86"/>
      <c r="M503" s="71"/>
      <c r="N503" s="71"/>
      <c r="O503" s="152"/>
      <c r="P503" s="71"/>
      <c r="Q503" s="153"/>
      <c r="R503" s="153"/>
      <c r="S503" s="71"/>
      <c r="T503" s="71"/>
      <c r="U503" s="60">
        <v>55.18</v>
      </c>
      <c r="V503" s="60">
        <f>D503*U503/1000</f>
        <v>5.518</v>
      </c>
    </row>
    <row r="504" spans="1:22" s="6" customFormat="1" ht="15.75">
      <c r="A504" s="70"/>
      <c r="B504" s="123" t="s">
        <v>53</v>
      </c>
      <c r="C504" s="40">
        <v>40</v>
      </c>
      <c r="D504" s="69"/>
      <c r="E504" s="69"/>
      <c r="F504" s="40">
        <v>2.8</v>
      </c>
      <c r="G504" s="40">
        <v>0.48</v>
      </c>
      <c r="H504" s="40">
        <v>15.6</v>
      </c>
      <c r="I504" s="87">
        <v>80</v>
      </c>
      <c r="J504" s="74">
        <v>1.5</v>
      </c>
      <c r="K504" s="69"/>
      <c r="L504" s="86"/>
      <c r="M504" s="71"/>
      <c r="N504" s="71"/>
      <c r="O504" s="152"/>
      <c r="P504" s="71"/>
      <c r="Q504" s="153"/>
      <c r="R504" s="153"/>
      <c r="S504" s="71"/>
      <c r="T504" s="71"/>
      <c r="U504" s="60">
        <v>50.08</v>
      </c>
      <c r="V504" s="34">
        <f>C504*U504/1000</f>
        <v>2.0031999999999996</v>
      </c>
    </row>
    <row r="505" spans="1:22" s="70" customFormat="1" ht="31.5">
      <c r="A505" s="276" t="s">
        <v>198</v>
      </c>
      <c r="B505" s="317"/>
      <c r="C505" s="277">
        <v>995</v>
      </c>
      <c r="D505" s="277"/>
      <c r="E505" s="278"/>
      <c r="F505" s="413">
        <f aca="true" t="shared" si="38" ref="F505:T505">F468+F470+F483+F486+F492+F500+F504</f>
        <v>20.540000000000003</v>
      </c>
      <c r="G505" s="413">
        <f t="shared" si="38"/>
        <v>20.77</v>
      </c>
      <c r="H505" s="413">
        <f t="shared" si="38"/>
        <v>97.67999999999999</v>
      </c>
      <c r="I505" s="413">
        <f t="shared" si="38"/>
        <v>626.3299999999999</v>
      </c>
      <c r="J505" s="413">
        <f t="shared" si="38"/>
        <v>9.67</v>
      </c>
      <c r="K505" s="413" t="e">
        <f t="shared" si="38"/>
        <v>#REF!</v>
      </c>
      <c r="L505" s="413" t="e">
        <f t="shared" si="38"/>
        <v>#REF!</v>
      </c>
      <c r="M505" s="413">
        <f t="shared" si="38"/>
        <v>0</v>
      </c>
      <c r="N505" s="413">
        <f t="shared" si="38"/>
        <v>0</v>
      </c>
      <c r="O505" s="413">
        <f t="shared" si="38"/>
        <v>0</v>
      </c>
      <c r="P505" s="413">
        <f t="shared" si="38"/>
        <v>0</v>
      </c>
      <c r="Q505" s="413">
        <f t="shared" si="38"/>
        <v>0</v>
      </c>
      <c r="R505" s="413">
        <f t="shared" si="38"/>
        <v>0</v>
      </c>
      <c r="S505" s="413">
        <f t="shared" si="38"/>
        <v>0</v>
      </c>
      <c r="T505" s="413">
        <f t="shared" si="38"/>
        <v>0</v>
      </c>
      <c r="U505" s="413"/>
      <c r="V505" s="413">
        <f>V468+V470+V483+V486+V492+V500+V504</f>
        <v>102.50285199999999</v>
      </c>
    </row>
    <row r="506" spans="1:22" s="7" customFormat="1" ht="31.5">
      <c r="A506" s="280" t="s">
        <v>199</v>
      </c>
      <c r="B506" s="318"/>
      <c r="C506" s="281" t="s">
        <v>200</v>
      </c>
      <c r="D506" s="282"/>
      <c r="E506" s="282"/>
      <c r="F506" s="414">
        <f aca="true" t="shared" si="39" ref="F506:T506">F466+F505</f>
        <v>48.18000000000001</v>
      </c>
      <c r="G506" s="414">
        <f t="shared" si="39"/>
        <v>47.489999999999995</v>
      </c>
      <c r="H506" s="414">
        <f t="shared" si="39"/>
        <v>138.88</v>
      </c>
      <c r="I506" s="414">
        <f t="shared" si="39"/>
        <v>1267.33</v>
      </c>
      <c r="J506" s="414">
        <f t="shared" si="39"/>
        <v>13.67</v>
      </c>
      <c r="K506" s="414" t="e">
        <f t="shared" si="39"/>
        <v>#REF!</v>
      </c>
      <c r="L506" s="414" t="e">
        <f t="shared" si="39"/>
        <v>#REF!</v>
      </c>
      <c r="M506" s="414">
        <f t="shared" si="39"/>
        <v>0</v>
      </c>
      <c r="N506" s="414">
        <f t="shared" si="39"/>
        <v>0.04</v>
      </c>
      <c r="O506" s="414">
        <f t="shared" si="39"/>
        <v>0</v>
      </c>
      <c r="P506" s="414">
        <f t="shared" si="39"/>
        <v>0.28</v>
      </c>
      <c r="Q506" s="414">
        <f t="shared" si="39"/>
        <v>5.8</v>
      </c>
      <c r="R506" s="414">
        <f t="shared" si="39"/>
        <v>30</v>
      </c>
      <c r="S506" s="414">
        <f t="shared" si="39"/>
        <v>9.4</v>
      </c>
      <c r="T506" s="414">
        <f t="shared" si="39"/>
        <v>0.78</v>
      </c>
      <c r="U506" s="414"/>
      <c r="V506" s="414">
        <f>V466+V505</f>
        <v>194.61270199999998</v>
      </c>
    </row>
    <row r="507" spans="1:22" s="10" customFormat="1" ht="15.75">
      <c r="A507" s="258" t="s">
        <v>217</v>
      </c>
      <c r="B507" s="259"/>
      <c r="C507" s="260"/>
      <c r="D507" s="261"/>
      <c r="E507" s="258"/>
      <c r="F507" s="262"/>
      <c r="G507" s="263"/>
      <c r="H507" s="263"/>
      <c r="I507" s="263"/>
      <c r="J507" s="263"/>
      <c r="K507" s="284" t="e">
        <f>SUM(K467+K506)</f>
        <v>#REF!</v>
      </c>
      <c r="L507" s="284" t="e">
        <f>SUM(L467+L506)</f>
        <v>#REF!</v>
      </c>
      <c r="M507" s="284" t="e">
        <f>SUM(M467+M506)</f>
        <v>#REF!</v>
      </c>
      <c r="N507" s="284" t="e">
        <f>SUM(N467+N506)</f>
        <v>#REF!</v>
      </c>
      <c r="O507" s="284" t="e">
        <f>SUM(O467+O506)</f>
        <v>#REF!</v>
      </c>
      <c r="P507" s="284" t="e">
        <f>SUM(P467+P506)</f>
        <v>#REF!</v>
      </c>
      <c r="Q507" s="284" t="e">
        <f>SUM(Q467+Q506)</f>
        <v>#REF!</v>
      </c>
      <c r="R507" s="284" t="e">
        <f>SUM(R467+R506)</f>
        <v>#REF!</v>
      </c>
      <c r="S507" s="284" t="e">
        <f>SUM(S467+S506)</f>
        <v>#REF!</v>
      </c>
      <c r="T507" s="284" t="e">
        <f>SUM(T467+T506)</f>
        <v>#REF!</v>
      </c>
      <c r="U507" s="3"/>
      <c r="V507" s="3"/>
    </row>
    <row r="508" spans="1:22" s="6" customFormat="1" ht="15.75">
      <c r="A508" s="264" t="s">
        <v>52</v>
      </c>
      <c r="B508" s="308"/>
      <c r="C508" s="264"/>
      <c r="D508" s="265"/>
      <c r="E508" s="266"/>
      <c r="F508" s="267"/>
      <c r="G508" s="267"/>
      <c r="H508" s="267"/>
      <c r="I508" s="267"/>
      <c r="J508" s="267"/>
      <c r="K508" s="302"/>
      <c r="L508" s="303"/>
      <c r="M508" s="306"/>
      <c r="N508" s="306"/>
      <c r="O508" s="306"/>
      <c r="P508" s="306"/>
      <c r="Q508" s="306"/>
      <c r="R508" s="306"/>
      <c r="S508" s="306"/>
      <c r="T508" s="307"/>
      <c r="U508" s="10"/>
      <c r="V508" s="3"/>
    </row>
    <row r="509" spans="2:22" s="10" customFormat="1" ht="15.75">
      <c r="B509" s="200" t="s">
        <v>46</v>
      </c>
      <c r="C509" s="52" t="s">
        <v>47</v>
      </c>
      <c r="D509" s="15"/>
      <c r="E509" s="48"/>
      <c r="F509" s="18">
        <v>7.3</v>
      </c>
      <c r="G509" s="53">
        <v>5.6</v>
      </c>
      <c r="H509" s="53">
        <v>13.4</v>
      </c>
      <c r="I509" s="103">
        <v>164</v>
      </c>
      <c r="J509" s="103">
        <v>1.3</v>
      </c>
      <c r="K509" s="309"/>
      <c r="L509" s="309" t="e">
        <f>SUM(#REF!+#REF!+#REF!+#REF!+#REF!+#REF!)</f>
        <v>#REF!</v>
      </c>
      <c r="M509" s="309"/>
      <c r="N509" s="309"/>
      <c r="O509" s="309"/>
      <c r="P509" s="309"/>
      <c r="Q509" s="309"/>
      <c r="R509" s="309"/>
      <c r="S509" s="309"/>
      <c r="T509" s="309"/>
      <c r="U509" s="351"/>
      <c r="V509" s="34">
        <f>SUM(V510:V511)</f>
        <v>16.9024</v>
      </c>
    </row>
    <row r="510" spans="1:22" s="10" customFormat="1" ht="15.75">
      <c r="A510" s="12"/>
      <c r="B510" s="137" t="s">
        <v>237</v>
      </c>
      <c r="C510" s="49"/>
      <c r="D510" s="46">
        <v>30</v>
      </c>
      <c r="E510" s="50">
        <v>30</v>
      </c>
      <c r="F510" s="23"/>
      <c r="G510" s="51"/>
      <c r="H510" s="51"/>
      <c r="I510" s="51"/>
      <c r="J510" s="51"/>
      <c r="K510" s="53"/>
      <c r="L510" s="53"/>
      <c r="M510" s="53">
        <v>0.1</v>
      </c>
      <c r="N510" s="53">
        <v>0.04</v>
      </c>
      <c r="O510" s="53">
        <v>20</v>
      </c>
      <c r="P510" s="53">
        <v>0.39</v>
      </c>
      <c r="Q510" s="53">
        <v>10</v>
      </c>
      <c r="R510" s="117">
        <v>22.8</v>
      </c>
      <c r="S510" s="53">
        <v>5.6</v>
      </c>
      <c r="T510" s="53">
        <v>20</v>
      </c>
      <c r="U510" s="410">
        <v>50.08</v>
      </c>
      <c r="V510" s="60">
        <f>D510*U510/1000</f>
        <v>1.5024</v>
      </c>
    </row>
    <row r="511" spans="2:22" s="12" customFormat="1" ht="15.75">
      <c r="B511" s="136" t="s">
        <v>39</v>
      </c>
      <c r="C511" s="49"/>
      <c r="D511" s="46">
        <v>22</v>
      </c>
      <c r="E511" s="50">
        <v>20</v>
      </c>
      <c r="F511" s="23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95"/>
      <c r="R511" s="105"/>
      <c r="S511" s="51"/>
      <c r="T511" s="51"/>
      <c r="U511" s="410">
        <v>700</v>
      </c>
      <c r="V511" s="60">
        <f>D511*U511/1000</f>
        <v>15.4</v>
      </c>
    </row>
    <row r="512" spans="1:22" s="12" customFormat="1" ht="28.5">
      <c r="A512" s="10"/>
      <c r="B512" s="365" t="s">
        <v>267</v>
      </c>
      <c r="C512" s="236" t="s">
        <v>91</v>
      </c>
      <c r="D512" s="236"/>
      <c r="E512" s="236"/>
      <c r="F512" s="350">
        <v>8.1</v>
      </c>
      <c r="G512" s="350">
        <v>9.3</v>
      </c>
      <c r="H512" s="350">
        <v>15</v>
      </c>
      <c r="I512" s="236">
        <v>285</v>
      </c>
      <c r="J512" s="236">
        <v>1.5</v>
      </c>
      <c r="K512" s="51"/>
      <c r="L512" s="51"/>
      <c r="M512" s="51"/>
      <c r="N512" s="51"/>
      <c r="O512" s="51"/>
      <c r="P512" s="51"/>
      <c r="Q512" s="95"/>
      <c r="R512" s="105"/>
      <c r="S512" s="51"/>
      <c r="T512" s="51"/>
      <c r="U512" s="350"/>
      <c r="V512" s="34">
        <f>SUM(V513:V517)</f>
        <v>12.599219999999999</v>
      </c>
    </row>
    <row r="513" spans="1:22" s="10" customFormat="1" ht="15.75">
      <c r="A513" s="6"/>
      <c r="B513" s="63" t="s">
        <v>142</v>
      </c>
      <c r="C513" s="17"/>
      <c r="D513" s="20">
        <v>25</v>
      </c>
      <c r="E513" s="20">
        <v>25</v>
      </c>
      <c r="F513" s="21"/>
      <c r="G513" s="21"/>
      <c r="H513" s="21"/>
      <c r="I513" s="21"/>
      <c r="J513" s="21"/>
      <c r="K513" s="236"/>
      <c r="L513" s="350"/>
      <c r="M513" s="350">
        <v>1.17</v>
      </c>
      <c r="N513" s="350">
        <v>0.113</v>
      </c>
      <c r="O513" s="236">
        <v>24.62</v>
      </c>
      <c r="P513" s="236">
        <v>1.09</v>
      </c>
      <c r="Q513" s="236">
        <v>133.38</v>
      </c>
      <c r="R513" s="236">
        <v>188</v>
      </c>
      <c r="S513" s="350">
        <v>37.22</v>
      </c>
      <c r="T513" s="236">
        <v>0.18</v>
      </c>
      <c r="U513" s="22">
        <v>64.2</v>
      </c>
      <c r="V513" s="60">
        <f>D513*U513/1000</f>
        <v>1.605</v>
      </c>
    </row>
    <row r="514" spans="2:22" s="6" customFormat="1" ht="15.75">
      <c r="B514" s="132" t="s">
        <v>86</v>
      </c>
      <c r="C514" s="17"/>
      <c r="D514" s="20">
        <v>140</v>
      </c>
      <c r="E514" s="20">
        <v>140</v>
      </c>
      <c r="F514" s="21"/>
      <c r="G514" s="21"/>
      <c r="H514" s="21"/>
      <c r="I514" s="21"/>
      <c r="J514" s="21"/>
      <c r="K514" s="21"/>
      <c r="L514" s="22"/>
      <c r="M514" s="21"/>
      <c r="N514" s="21"/>
      <c r="O514" s="21"/>
      <c r="P514" s="21"/>
      <c r="Q514" s="21"/>
      <c r="R514" s="21"/>
      <c r="S514" s="21"/>
      <c r="T514" s="21"/>
      <c r="U514" s="22">
        <v>55.18</v>
      </c>
      <c r="V514" s="60">
        <f>D514*U514/1000</f>
        <v>7.7252</v>
      </c>
    </row>
    <row r="515" spans="2:22" s="6" customFormat="1" ht="15.75">
      <c r="B515" s="63" t="s">
        <v>54</v>
      </c>
      <c r="C515" s="17"/>
      <c r="D515" s="20">
        <v>38</v>
      </c>
      <c r="E515" s="20">
        <v>38</v>
      </c>
      <c r="F515" s="21"/>
      <c r="G515" s="21"/>
      <c r="H515" s="21"/>
      <c r="I515" s="21"/>
      <c r="J515" s="21"/>
      <c r="K515" s="21"/>
      <c r="L515" s="22"/>
      <c r="M515" s="21"/>
      <c r="N515" s="21"/>
      <c r="O515" s="21"/>
      <c r="P515" s="21"/>
      <c r="Q515" s="21"/>
      <c r="R515" s="21"/>
      <c r="S515" s="21"/>
      <c r="T515" s="21"/>
      <c r="U515" s="22"/>
      <c r="V515" s="60">
        <f>D515*U515/1000</f>
        <v>0</v>
      </c>
    </row>
    <row r="516" spans="2:22" s="6" customFormat="1" ht="15.75">
      <c r="B516" s="132" t="s">
        <v>14</v>
      </c>
      <c r="C516" s="17"/>
      <c r="D516" s="20">
        <v>0.3</v>
      </c>
      <c r="E516" s="20">
        <v>0.3</v>
      </c>
      <c r="F516" s="21"/>
      <c r="G516" s="21"/>
      <c r="H516" s="21"/>
      <c r="I516" s="21"/>
      <c r="J516" s="21"/>
      <c r="K516" s="21"/>
      <c r="L516" s="22"/>
      <c r="M516" s="21"/>
      <c r="N516" s="21"/>
      <c r="O516" s="21"/>
      <c r="P516" s="21"/>
      <c r="Q516" s="21"/>
      <c r="R516" s="21"/>
      <c r="S516" s="21"/>
      <c r="T516" s="21"/>
      <c r="U516" s="22">
        <v>11.9</v>
      </c>
      <c r="V516" s="60">
        <f>D516*U516/1000</f>
        <v>0.00357</v>
      </c>
    </row>
    <row r="517" spans="2:22" s="6" customFormat="1" ht="15.75">
      <c r="B517" s="63" t="s">
        <v>58</v>
      </c>
      <c r="C517" s="17"/>
      <c r="D517" s="20">
        <v>5</v>
      </c>
      <c r="E517" s="20">
        <v>5</v>
      </c>
      <c r="F517" s="21"/>
      <c r="G517" s="21"/>
      <c r="H517" s="21"/>
      <c r="I517" s="21"/>
      <c r="J517" s="21"/>
      <c r="K517" s="21"/>
      <c r="L517" s="22"/>
      <c r="M517" s="21"/>
      <c r="N517" s="21"/>
      <c r="O517" s="21"/>
      <c r="P517" s="21"/>
      <c r="Q517" s="21"/>
      <c r="R517" s="21"/>
      <c r="S517" s="21"/>
      <c r="T517" s="21"/>
      <c r="U517" s="22">
        <v>653.09</v>
      </c>
      <c r="V517" s="60">
        <f>D517*U517/1000</f>
        <v>3.2654500000000004</v>
      </c>
    </row>
    <row r="518" spans="1:22" s="6" customFormat="1" ht="15.75">
      <c r="A518" s="43"/>
      <c r="B518" s="122" t="s">
        <v>120</v>
      </c>
      <c r="C518" s="40">
        <v>200</v>
      </c>
      <c r="D518" s="40"/>
      <c r="E518" s="40"/>
      <c r="F518" s="41">
        <v>3.1</v>
      </c>
      <c r="G518" s="41">
        <v>2.7</v>
      </c>
      <c r="H518" s="41">
        <v>6.9</v>
      </c>
      <c r="I518" s="40">
        <v>100</v>
      </c>
      <c r="J518" s="40">
        <v>0.7</v>
      </c>
      <c r="K518" s="21"/>
      <c r="L518" s="22"/>
      <c r="M518" s="21"/>
      <c r="N518" s="21"/>
      <c r="O518" s="21"/>
      <c r="P518" s="21"/>
      <c r="Q518" s="21"/>
      <c r="R518" s="21"/>
      <c r="S518" s="21"/>
      <c r="T518" s="21"/>
      <c r="U518" s="68"/>
      <c r="V518" s="34">
        <f>SUM(V519:V521)</f>
        <v>7.486</v>
      </c>
    </row>
    <row r="519" spans="1:22" s="43" customFormat="1" ht="15.75">
      <c r="A519" s="6"/>
      <c r="B519" s="63" t="s">
        <v>107</v>
      </c>
      <c r="C519" s="17"/>
      <c r="D519" s="20">
        <v>4</v>
      </c>
      <c r="E519" s="20">
        <v>4</v>
      </c>
      <c r="F519" s="21"/>
      <c r="G519" s="21"/>
      <c r="H519" s="21"/>
      <c r="I519" s="21"/>
      <c r="J519" s="21"/>
      <c r="K519" s="40"/>
      <c r="L519" s="68"/>
      <c r="M519" s="42">
        <v>1.3</v>
      </c>
      <c r="N519" s="40">
        <v>0.04</v>
      </c>
      <c r="O519" s="87">
        <v>20</v>
      </c>
      <c r="P519" s="40">
        <v>0.05</v>
      </c>
      <c r="Q519" s="74">
        <v>125.78</v>
      </c>
      <c r="R519" s="87">
        <v>90</v>
      </c>
      <c r="S519" s="40">
        <v>14</v>
      </c>
      <c r="T519" s="41">
        <v>0.13</v>
      </c>
      <c r="U519" s="51">
        <v>492</v>
      </c>
      <c r="V519" s="60">
        <f>D519*U519/1000</f>
        <v>1.968</v>
      </c>
    </row>
    <row r="520" spans="2:22" s="6" customFormat="1" ht="15.75">
      <c r="B520" s="63" t="s">
        <v>86</v>
      </c>
      <c r="C520" s="17"/>
      <c r="D520" s="20">
        <v>100</v>
      </c>
      <c r="E520" s="20">
        <v>100</v>
      </c>
      <c r="F520" s="21"/>
      <c r="G520" s="21"/>
      <c r="H520" s="21"/>
      <c r="I520" s="21"/>
      <c r="J520" s="21"/>
      <c r="K520" s="21"/>
      <c r="L520" s="51"/>
      <c r="M520" s="21"/>
      <c r="N520" s="21"/>
      <c r="O520" s="112"/>
      <c r="P520" s="21"/>
      <c r="Q520" s="99"/>
      <c r="R520" s="202"/>
      <c r="S520" s="21"/>
      <c r="T520" s="21"/>
      <c r="U520" s="51">
        <v>55.18</v>
      </c>
      <c r="V520" s="60">
        <f>D520*U520/1000</f>
        <v>5.518</v>
      </c>
    </row>
    <row r="521" spans="2:22" s="6" customFormat="1" ht="15.75">
      <c r="B521" s="63" t="s">
        <v>54</v>
      </c>
      <c r="C521" s="17"/>
      <c r="D521" s="20">
        <v>100</v>
      </c>
      <c r="E521" s="20">
        <v>100</v>
      </c>
      <c r="F521" s="21"/>
      <c r="G521" s="21"/>
      <c r="H521" s="21"/>
      <c r="I521" s="21"/>
      <c r="J521" s="21"/>
      <c r="K521" s="21"/>
      <c r="L521" s="51"/>
      <c r="M521" s="21"/>
      <c r="N521" s="21"/>
      <c r="O521" s="112"/>
      <c r="P521" s="21"/>
      <c r="Q521" s="99"/>
      <c r="R521" s="202"/>
      <c r="S521" s="21"/>
      <c r="T521" s="21"/>
      <c r="U521" s="21"/>
      <c r="V521" s="60">
        <f>D521*U521/1000</f>
        <v>0</v>
      </c>
    </row>
    <row r="522" spans="1:22" s="43" customFormat="1" ht="15.75">
      <c r="A522" s="70"/>
      <c r="B522" s="123" t="s">
        <v>53</v>
      </c>
      <c r="C522" s="40">
        <v>20</v>
      </c>
      <c r="D522" s="69"/>
      <c r="E522" s="69"/>
      <c r="F522" s="40">
        <v>1.4</v>
      </c>
      <c r="G522" s="40">
        <v>0.24</v>
      </c>
      <c r="H522" s="40">
        <v>7.8</v>
      </c>
      <c r="I522" s="87">
        <v>40</v>
      </c>
      <c r="J522" s="87">
        <v>0.7</v>
      </c>
      <c r="K522" s="40"/>
      <c r="L522" s="40"/>
      <c r="M522" s="74">
        <v>16</v>
      </c>
      <c r="N522" s="40">
        <v>0.02</v>
      </c>
      <c r="O522" s="87">
        <v>0</v>
      </c>
      <c r="P522" s="40">
        <v>0.17</v>
      </c>
      <c r="Q522" s="74">
        <v>2.97</v>
      </c>
      <c r="R522" s="87">
        <v>9.6</v>
      </c>
      <c r="S522" s="41">
        <v>2.08</v>
      </c>
      <c r="T522" s="40">
        <v>0.16</v>
      </c>
      <c r="U522" s="35">
        <v>50.08</v>
      </c>
      <c r="V522" s="34">
        <f>C522*U522/1000</f>
        <v>1.0015999999999998</v>
      </c>
    </row>
    <row r="523" spans="1:22" s="70" customFormat="1" ht="31.5">
      <c r="A523" s="270" t="s">
        <v>197</v>
      </c>
      <c r="B523" s="271"/>
      <c r="C523" s="272" t="s">
        <v>209</v>
      </c>
      <c r="D523" s="271"/>
      <c r="E523" s="273"/>
      <c r="F523" s="287">
        <f aca="true" t="shared" si="40" ref="F523:U523">F509+F512+F518+F522</f>
        <v>19.9</v>
      </c>
      <c r="G523" s="287">
        <f t="shared" si="40"/>
        <v>17.84</v>
      </c>
      <c r="H523" s="287">
        <f t="shared" si="40"/>
        <v>43.099999999999994</v>
      </c>
      <c r="I523" s="287">
        <f t="shared" si="40"/>
        <v>589</v>
      </c>
      <c r="J523" s="287">
        <f t="shared" si="40"/>
        <v>4.2</v>
      </c>
      <c r="K523" s="287">
        <f t="shared" si="40"/>
        <v>0</v>
      </c>
      <c r="L523" s="287" t="e">
        <f t="shared" si="40"/>
        <v>#REF!</v>
      </c>
      <c r="M523" s="287">
        <f t="shared" si="40"/>
        <v>16</v>
      </c>
      <c r="N523" s="287">
        <f t="shared" si="40"/>
        <v>0.02</v>
      </c>
      <c r="O523" s="287">
        <f t="shared" si="40"/>
        <v>0</v>
      </c>
      <c r="P523" s="287">
        <f t="shared" si="40"/>
        <v>0.17</v>
      </c>
      <c r="Q523" s="287">
        <f t="shared" si="40"/>
        <v>2.97</v>
      </c>
      <c r="R523" s="287">
        <f t="shared" si="40"/>
        <v>9.6</v>
      </c>
      <c r="S523" s="287">
        <f t="shared" si="40"/>
        <v>2.08</v>
      </c>
      <c r="T523" s="287">
        <f t="shared" si="40"/>
        <v>0.16</v>
      </c>
      <c r="U523" s="287">
        <f t="shared" si="40"/>
        <v>50.08</v>
      </c>
      <c r="V523" s="287">
        <f>V509+V512+V518+V522</f>
        <v>37.98922</v>
      </c>
    </row>
    <row r="524" spans="1:22" s="11" customFormat="1" ht="15.75">
      <c r="A524" s="264" t="s">
        <v>11</v>
      </c>
      <c r="B524" s="308"/>
      <c r="C524" s="264"/>
      <c r="D524" s="265"/>
      <c r="E524" s="266"/>
      <c r="F524" s="267"/>
      <c r="G524" s="267"/>
      <c r="H524" s="267"/>
      <c r="I524" s="267"/>
      <c r="J524" s="267"/>
      <c r="K524" s="274" t="e">
        <f>SUM(K510+#REF!+K519+K522+#REF!+K523)</f>
        <v>#REF!</v>
      </c>
      <c r="L524" s="274" t="e">
        <f>SUM(L510+#REF!+L519+L522+#REF!+L523)</f>
        <v>#REF!</v>
      </c>
      <c r="M524" s="274" t="e">
        <f>SUM(M510+#REF!+M519+M522+#REF!+M523)</f>
        <v>#REF!</v>
      </c>
      <c r="N524" s="274" t="e">
        <f>SUM(N510+#REF!+N519+N522+#REF!+N523)</f>
        <v>#REF!</v>
      </c>
      <c r="O524" s="274" t="e">
        <f>SUM(O510+#REF!+O519+O522+#REF!+O523)</f>
        <v>#REF!</v>
      </c>
      <c r="P524" s="274" t="e">
        <f>SUM(P510+#REF!+P519+P522+#REF!+P523)</f>
        <v>#REF!</v>
      </c>
      <c r="Q524" s="274" t="e">
        <f>SUM(Q510+#REF!+Q519+Q522+#REF!+Q523)</f>
        <v>#REF!</v>
      </c>
      <c r="R524" s="274" t="e">
        <f>SUM(R510+#REF!+R519+R522+#REF!+R523)</f>
        <v>#REF!</v>
      </c>
      <c r="S524" s="274" t="e">
        <f>SUM(S510+#REF!+S519+S522+#REF!+S523)</f>
        <v>#REF!</v>
      </c>
      <c r="T524" s="274" t="e">
        <f>SUM(T510+#REF!+T519+T522+#REF!+T523)</f>
        <v>#REF!</v>
      </c>
      <c r="U524"/>
      <c r="V524"/>
    </row>
    <row r="525" spans="1:22" s="10" customFormat="1" ht="15.75">
      <c r="A525" s="42"/>
      <c r="B525" s="366" t="s">
        <v>118</v>
      </c>
      <c r="C525" s="30">
        <v>15</v>
      </c>
      <c r="D525" s="30"/>
      <c r="E525" s="30"/>
      <c r="F525" s="30">
        <v>3.48</v>
      </c>
      <c r="G525" s="30">
        <v>4.38</v>
      </c>
      <c r="H525" s="31">
        <v>0</v>
      </c>
      <c r="I525" s="30">
        <v>54.5</v>
      </c>
      <c r="J525" s="30">
        <v>0</v>
      </c>
      <c r="K525" s="309" t="e">
        <f>SUM(#REF!+#REF!+#REF!+#REF!+#REF!+#REF!+K531+#REF!)</f>
        <v>#REF!</v>
      </c>
      <c r="L525" s="309" t="e">
        <f>SUM(#REF!+#REF!+#REF!+#REF!+#REF!+#REF!+L531+#REF!)</f>
        <v>#REF!</v>
      </c>
      <c r="M525" s="309"/>
      <c r="N525" s="309"/>
      <c r="O525" s="309"/>
      <c r="P525" s="309"/>
      <c r="Q525" s="309"/>
      <c r="R525" s="309"/>
      <c r="S525" s="309"/>
      <c r="T525" s="309"/>
      <c r="U525" s="34"/>
      <c r="V525" s="34">
        <f>V526</f>
        <v>11.55</v>
      </c>
    </row>
    <row r="526" spans="1:22" s="43" customFormat="1" ht="15.75">
      <c r="A526" s="61"/>
      <c r="B526" s="367" t="s">
        <v>39</v>
      </c>
      <c r="C526" s="61"/>
      <c r="D526" s="61">
        <v>16.5</v>
      </c>
      <c r="E526" s="61">
        <v>15</v>
      </c>
      <c r="F526" s="61"/>
      <c r="G526" s="61"/>
      <c r="H526" s="64"/>
      <c r="I526" s="61"/>
      <c r="J526" s="61"/>
      <c r="K526" s="30"/>
      <c r="L526" s="31"/>
      <c r="M526" s="30">
        <v>0.1</v>
      </c>
      <c r="N526" s="44">
        <v>0.004</v>
      </c>
      <c r="O526" s="108">
        <v>43.5</v>
      </c>
      <c r="P526" s="30">
        <v>0.08</v>
      </c>
      <c r="Q526" s="44">
        <v>132</v>
      </c>
      <c r="R526" s="108">
        <v>75</v>
      </c>
      <c r="S526" s="30">
        <v>0.05</v>
      </c>
      <c r="T526" s="31">
        <v>0.2</v>
      </c>
      <c r="U526" s="60">
        <v>700</v>
      </c>
      <c r="V526" s="60">
        <f>D526*U526/1000</f>
        <v>11.55</v>
      </c>
    </row>
    <row r="527" spans="1:22" s="11" customFormat="1" ht="31.5">
      <c r="A527" s="78"/>
      <c r="B527" s="133" t="s">
        <v>19</v>
      </c>
      <c r="C527" s="362" t="s">
        <v>128</v>
      </c>
      <c r="D527" s="40"/>
      <c r="E527" s="40"/>
      <c r="F527" s="40">
        <v>24.1</v>
      </c>
      <c r="G527" s="40">
        <v>21.5</v>
      </c>
      <c r="H527" s="40">
        <v>41.6</v>
      </c>
      <c r="I527" s="40">
        <v>235</v>
      </c>
      <c r="J527" s="40">
        <v>4.1</v>
      </c>
      <c r="K527" s="61"/>
      <c r="L527" s="64"/>
      <c r="M527" s="61"/>
      <c r="N527" s="101"/>
      <c r="O527" s="111"/>
      <c r="P527" s="61"/>
      <c r="Q527" s="101"/>
      <c r="R527" s="111"/>
      <c r="S527" s="61"/>
      <c r="T527" s="64"/>
      <c r="U527" s="25"/>
      <c r="V527" s="34">
        <f>SUM(V528:V540)</f>
        <v>18.99187</v>
      </c>
    </row>
    <row r="528" spans="1:22" s="4" customFormat="1" ht="15.75">
      <c r="A528" s="315"/>
      <c r="B528" s="142" t="s">
        <v>35</v>
      </c>
      <c r="C528" s="33"/>
      <c r="D528" s="35">
        <v>16</v>
      </c>
      <c r="E528" s="35">
        <v>16</v>
      </c>
      <c r="F528" s="36"/>
      <c r="G528" s="36"/>
      <c r="H528" s="36"/>
      <c r="I528" s="36"/>
      <c r="J528" s="36"/>
      <c r="K528" s="40"/>
      <c r="L528" s="40"/>
      <c r="M528" s="40">
        <v>15.77</v>
      </c>
      <c r="N528" s="40">
        <v>0.06</v>
      </c>
      <c r="O528" s="40">
        <v>0</v>
      </c>
      <c r="P528" s="40">
        <v>2.35</v>
      </c>
      <c r="Q528" s="40">
        <v>49.25</v>
      </c>
      <c r="R528" s="87">
        <v>49</v>
      </c>
      <c r="S528" s="40">
        <v>22.12</v>
      </c>
      <c r="T528" s="40">
        <v>0.8</v>
      </c>
      <c r="U528" s="39">
        <v>440</v>
      </c>
      <c r="V528" s="60">
        <f>D528*U528/1000</f>
        <v>7.04</v>
      </c>
    </row>
    <row r="529" spans="1:22" s="45" customFormat="1" ht="15.75">
      <c r="A529" s="315"/>
      <c r="B529" s="142" t="s">
        <v>2</v>
      </c>
      <c r="C529" s="33"/>
      <c r="D529" s="35">
        <v>63</v>
      </c>
      <c r="E529" s="35">
        <v>50</v>
      </c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205"/>
      <c r="S529" s="36"/>
      <c r="T529" s="36"/>
      <c r="U529" s="39">
        <v>39.19</v>
      </c>
      <c r="V529" s="60">
        <f aca="true" t="shared" si="41" ref="V529:V540">D529*U529/1000</f>
        <v>2.4689699999999997</v>
      </c>
    </row>
    <row r="530" spans="1:22" s="45" customFormat="1" ht="15.75">
      <c r="A530" s="315"/>
      <c r="B530" s="142" t="s">
        <v>17</v>
      </c>
      <c r="C530" s="33"/>
      <c r="D530" s="35">
        <v>40</v>
      </c>
      <c r="E530" s="35">
        <v>30</v>
      </c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205"/>
      <c r="S530" s="36"/>
      <c r="T530" s="36"/>
      <c r="U530" s="39">
        <v>50.25</v>
      </c>
      <c r="V530" s="60">
        <f t="shared" si="41"/>
        <v>2.01</v>
      </c>
    </row>
    <row r="531" spans="1:22" s="45" customFormat="1" ht="15.75">
      <c r="A531" s="315"/>
      <c r="B531" s="142" t="s">
        <v>130</v>
      </c>
      <c r="C531" s="33"/>
      <c r="D531" s="35">
        <v>43</v>
      </c>
      <c r="E531" s="35">
        <v>30</v>
      </c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205"/>
      <c r="S531" s="36"/>
      <c r="T531" s="36"/>
      <c r="U531" s="39"/>
      <c r="V531" s="60">
        <f t="shared" si="41"/>
        <v>0</v>
      </c>
    </row>
    <row r="532" spans="1:22" s="45" customFormat="1" ht="15.75">
      <c r="A532" s="315"/>
      <c r="B532" s="142" t="s">
        <v>18</v>
      </c>
      <c r="C532" s="33"/>
      <c r="D532" s="35">
        <v>46</v>
      </c>
      <c r="E532" s="35">
        <v>30</v>
      </c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205"/>
      <c r="S532" s="36"/>
      <c r="T532" s="36"/>
      <c r="U532" s="39"/>
      <c r="V532" s="60">
        <f t="shared" si="41"/>
        <v>0</v>
      </c>
    </row>
    <row r="533" spans="1:22" s="45" customFormat="1" ht="15.75">
      <c r="A533" s="315"/>
      <c r="B533" s="142" t="s">
        <v>132</v>
      </c>
      <c r="C533" s="33"/>
      <c r="D533" s="35">
        <v>50</v>
      </c>
      <c r="E533" s="35">
        <v>30</v>
      </c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205"/>
      <c r="S533" s="36"/>
      <c r="T533" s="36"/>
      <c r="U533" s="39"/>
      <c r="V533" s="60">
        <f t="shared" si="41"/>
        <v>0</v>
      </c>
    </row>
    <row r="534" spans="1:22" s="45" customFormat="1" ht="15.75">
      <c r="A534" s="315"/>
      <c r="B534" s="142" t="s">
        <v>133</v>
      </c>
      <c r="C534" s="33"/>
      <c r="D534" s="35">
        <v>16</v>
      </c>
      <c r="E534" s="35">
        <v>13</v>
      </c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205"/>
      <c r="S534" s="36"/>
      <c r="T534" s="36"/>
      <c r="U534" s="39">
        <v>81.72</v>
      </c>
      <c r="V534" s="60">
        <f t="shared" si="41"/>
        <v>1.30752</v>
      </c>
    </row>
    <row r="535" spans="1:22" s="45" customFormat="1" ht="15.75">
      <c r="A535" s="315"/>
      <c r="B535" s="142" t="s">
        <v>104</v>
      </c>
      <c r="C535" s="33"/>
      <c r="D535" s="35">
        <v>17</v>
      </c>
      <c r="E535" s="35">
        <v>13</v>
      </c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205"/>
      <c r="S535" s="36"/>
      <c r="T535" s="36"/>
      <c r="U535" s="39"/>
      <c r="V535" s="60">
        <f t="shared" si="41"/>
        <v>0</v>
      </c>
    </row>
    <row r="536" spans="1:22" s="45" customFormat="1" ht="15.75">
      <c r="A536" s="315"/>
      <c r="B536" s="142" t="s">
        <v>55</v>
      </c>
      <c r="C536" s="33"/>
      <c r="D536" s="35">
        <v>12</v>
      </c>
      <c r="E536" s="35">
        <v>10</v>
      </c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205"/>
      <c r="S536" s="36"/>
      <c r="T536" s="36"/>
      <c r="U536" s="39">
        <v>32.75</v>
      </c>
      <c r="V536" s="60">
        <f t="shared" si="41"/>
        <v>0.393</v>
      </c>
    </row>
    <row r="537" spans="1:22" s="45" customFormat="1" ht="15.75">
      <c r="A537" s="315"/>
      <c r="B537" s="142" t="s">
        <v>58</v>
      </c>
      <c r="C537" s="33"/>
      <c r="D537" s="35">
        <v>7</v>
      </c>
      <c r="E537" s="35">
        <v>7</v>
      </c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205"/>
      <c r="S537" s="36"/>
      <c r="T537" s="36"/>
      <c r="U537" s="39">
        <v>653.09</v>
      </c>
      <c r="V537" s="60">
        <f t="shared" si="41"/>
        <v>4.57163</v>
      </c>
    </row>
    <row r="538" spans="1:22" s="45" customFormat="1" ht="15.75">
      <c r="A538" s="315"/>
      <c r="B538" s="142" t="s">
        <v>90</v>
      </c>
      <c r="C538" s="33"/>
      <c r="D538" s="35">
        <v>5</v>
      </c>
      <c r="E538" s="35">
        <v>5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205"/>
      <c r="S538" s="36"/>
      <c r="T538" s="36"/>
      <c r="U538" s="39">
        <v>237.77</v>
      </c>
      <c r="V538" s="60">
        <f t="shared" si="41"/>
        <v>1.1888500000000002</v>
      </c>
    </row>
    <row r="539" spans="1:22" s="45" customFormat="1" ht="15.75">
      <c r="A539" s="315"/>
      <c r="B539" s="142" t="s">
        <v>135</v>
      </c>
      <c r="C539" s="33"/>
      <c r="D539" s="35">
        <v>190</v>
      </c>
      <c r="E539" s="35">
        <v>190</v>
      </c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205"/>
      <c r="S539" s="36"/>
      <c r="T539" s="36"/>
      <c r="U539" s="39"/>
      <c r="V539" s="60">
        <f t="shared" si="41"/>
        <v>0</v>
      </c>
    </row>
    <row r="540" spans="1:22" s="45" customFormat="1" ht="15.75">
      <c r="A540" s="315"/>
      <c r="B540" s="142" t="s">
        <v>14</v>
      </c>
      <c r="C540" s="33"/>
      <c r="D540" s="35">
        <v>1</v>
      </c>
      <c r="E540" s="35">
        <v>1</v>
      </c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205"/>
      <c r="S540" s="36"/>
      <c r="T540" s="36"/>
      <c r="U540" s="39">
        <v>11.9</v>
      </c>
      <c r="V540" s="60">
        <f t="shared" si="41"/>
        <v>0.0119</v>
      </c>
    </row>
    <row r="541" spans="1:22" s="45" customFormat="1" ht="31.5">
      <c r="A541" s="10"/>
      <c r="B541" s="207" t="s">
        <v>233</v>
      </c>
      <c r="C541" s="30">
        <v>100</v>
      </c>
      <c r="D541" s="30"/>
      <c r="E541" s="30"/>
      <c r="F541" s="31">
        <v>16.1</v>
      </c>
      <c r="G541" s="31">
        <v>15.1</v>
      </c>
      <c r="H541" s="31">
        <v>0.66</v>
      </c>
      <c r="I541" s="30">
        <v>210</v>
      </c>
      <c r="J541" s="30">
        <v>0.07</v>
      </c>
      <c r="K541" s="36"/>
      <c r="L541" s="36"/>
      <c r="M541" s="36"/>
      <c r="N541" s="36"/>
      <c r="O541" s="36"/>
      <c r="P541" s="36"/>
      <c r="Q541" s="36"/>
      <c r="R541" s="205"/>
      <c r="S541" s="36"/>
      <c r="T541" s="36"/>
      <c r="U541" s="67"/>
      <c r="V541" s="34">
        <f>SUM(V542:V546)</f>
        <v>55.006025</v>
      </c>
    </row>
    <row r="542" spans="1:22" s="10" customFormat="1" ht="15.75">
      <c r="A542" s="6"/>
      <c r="B542" s="154" t="s">
        <v>251</v>
      </c>
      <c r="C542" s="40"/>
      <c r="D542" s="69">
        <v>157</v>
      </c>
      <c r="E542" s="69">
        <v>150</v>
      </c>
      <c r="F542" s="71"/>
      <c r="G542" s="71"/>
      <c r="H542" s="71"/>
      <c r="I542" s="71"/>
      <c r="J542" s="71"/>
      <c r="K542" s="42"/>
      <c r="L542" s="67"/>
      <c r="M542" s="67">
        <v>0.64</v>
      </c>
      <c r="N542" s="67">
        <v>0.03</v>
      </c>
      <c r="O542" s="42">
        <v>0.06</v>
      </c>
      <c r="P542" s="42">
        <v>0.5</v>
      </c>
      <c r="Q542" s="42">
        <v>16.6</v>
      </c>
      <c r="R542" s="42">
        <v>145.6</v>
      </c>
      <c r="S542" s="67">
        <v>13.3</v>
      </c>
      <c r="T542" s="42">
        <v>1.1</v>
      </c>
      <c r="U542" s="86">
        <v>344.5</v>
      </c>
      <c r="V542" s="60">
        <f>D542*U542/1000</f>
        <v>54.0865</v>
      </c>
    </row>
    <row r="543" spans="2:22" s="6" customFormat="1" ht="15.75">
      <c r="B543" s="155" t="s">
        <v>250</v>
      </c>
      <c r="C543" s="40"/>
      <c r="D543" s="69">
        <v>2</v>
      </c>
      <c r="E543" s="69">
        <v>2</v>
      </c>
      <c r="F543" s="71"/>
      <c r="G543" s="71"/>
      <c r="H543" s="71"/>
      <c r="I543" s="71"/>
      <c r="J543" s="71"/>
      <c r="K543" s="71"/>
      <c r="L543" s="86"/>
      <c r="M543" s="71"/>
      <c r="N543" s="71"/>
      <c r="O543" s="71"/>
      <c r="P543" s="71"/>
      <c r="Q543" s="71"/>
      <c r="R543" s="71"/>
      <c r="S543" s="71"/>
      <c r="T543" s="71"/>
      <c r="U543" s="86">
        <v>264</v>
      </c>
      <c r="V543" s="60">
        <f>D543*U543/1000</f>
        <v>0.528</v>
      </c>
    </row>
    <row r="544" spans="2:22" s="6" customFormat="1" ht="15.75">
      <c r="B544" s="151" t="s">
        <v>234</v>
      </c>
      <c r="C544" s="69"/>
      <c r="D544" s="69">
        <v>0.43</v>
      </c>
      <c r="E544" s="69">
        <v>0.28</v>
      </c>
      <c r="F544" s="71"/>
      <c r="G544" s="71"/>
      <c r="H544" s="71"/>
      <c r="I544" s="71"/>
      <c r="J544" s="71"/>
      <c r="K544" s="71"/>
      <c r="L544" s="86"/>
      <c r="M544" s="71"/>
      <c r="N544" s="71"/>
      <c r="O544" s="71"/>
      <c r="P544" s="71"/>
      <c r="Q544" s="71"/>
      <c r="R544" s="71"/>
      <c r="S544" s="71"/>
      <c r="T544" s="71"/>
      <c r="U544" s="86">
        <v>242.5</v>
      </c>
      <c r="V544" s="60">
        <f>D544*U544/1000</f>
        <v>0.10427499999999999</v>
      </c>
    </row>
    <row r="545" spans="2:22" s="6" customFormat="1" ht="15.75">
      <c r="B545" s="154" t="s">
        <v>57</v>
      </c>
      <c r="C545" s="69"/>
      <c r="D545" s="69">
        <v>2.2</v>
      </c>
      <c r="E545" s="69">
        <v>2.2</v>
      </c>
      <c r="F545" s="71"/>
      <c r="G545" s="71"/>
      <c r="H545" s="71"/>
      <c r="I545" s="71"/>
      <c r="J545" s="71"/>
      <c r="K545" s="71"/>
      <c r="L545" s="86"/>
      <c r="M545" s="71"/>
      <c r="N545" s="71"/>
      <c r="O545" s="71"/>
      <c r="P545" s="71"/>
      <c r="Q545" s="71"/>
      <c r="R545" s="71"/>
      <c r="S545" s="71"/>
      <c r="T545" s="71"/>
      <c r="U545" s="86">
        <v>125.7</v>
      </c>
      <c r="V545" s="60">
        <f>D545*U545/1000</f>
        <v>0.27654</v>
      </c>
    </row>
    <row r="546" spans="2:22" s="6" customFormat="1" ht="15.75">
      <c r="B546" s="154" t="s">
        <v>14</v>
      </c>
      <c r="C546" s="69"/>
      <c r="D546" s="69">
        <v>0.9</v>
      </c>
      <c r="E546" s="69">
        <v>0.9</v>
      </c>
      <c r="F546" s="71"/>
      <c r="G546" s="71"/>
      <c r="H546" s="71"/>
      <c r="I546" s="71"/>
      <c r="J546" s="71"/>
      <c r="K546" s="71"/>
      <c r="L546" s="86"/>
      <c r="M546" s="71"/>
      <c r="N546" s="71"/>
      <c r="O546" s="71"/>
      <c r="P546" s="71"/>
      <c r="Q546" s="71"/>
      <c r="R546" s="71"/>
      <c r="S546" s="71"/>
      <c r="T546" s="71"/>
      <c r="U546" s="86">
        <v>11.9</v>
      </c>
      <c r="V546" s="60">
        <f>D546*U546/1000</f>
        <v>0.01071</v>
      </c>
    </row>
    <row r="547" spans="2:22" s="6" customFormat="1" ht="15.75">
      <c r="B547" s="141" t="s">
        <v>10</v>
      </c>
      <c r="C547" s="40" t="s">
        <v>242</v>
      </c>
      <c r="D547" s="69"/>
      <c r="E547" s="69"/>
      <c r="F547" s="71"/>
      <c r="G547" s="71"/>
      <c r="H547" s="71"/>
      <c r="I547" s="71"/>
      <c r="J547" s="71"/>
      <c r="K547" s="71"/>
      <c r="L547" s="86"/>
      <c r="M547" s="71"/>
      <c r="N547" s="71"/>
      <c r="O547" s="71"/>
      <c r="P547" s="71"/>
      <c r="Q547" s="71"/>
      <c r="R547" s="71"/>
      <c r="S547" s="71"/>
      <c r="T547" s="71"/>
      <c r="U547" s="86"/>
      <c r="V547" s="34">
        <f>V548+V556</f>
        <v>14.507685000000002</v>
      </c>
    </row>
    <row r="548" spans="1:22" s="6" customFormat="1" ht="15.75">
      <c r="A548" s="13"/>
      <c r="B548" s="368" t="s">
        <v>0</v>
      </c>
      <c r="C548" s="30">
        <v>50</v>
      </c>
      <c r="D548" s="30"/>
      <c r="E548" s="30"/>
      <c r="F548" s="31">
        <v>1</v>
      </c>
      <c r="G548" s="31">
        <v>1.3</v>
      </c>
      <c r="H548" s="30">
        <v>6.4</v>
      </c>
      <c r="I548" s="30">
        <v>45</v>
      </c>
      <c r="J548" s="30">
        <v>0.6</v>
      </c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31"/>
      <c r="V548" s="34">
        <f>SUM(V549:V555)</f>
        <v>4.037788</v>
      </c>
    </row>
    <row r="549" spans="1:22" s="13" customFormat="1" ht="15.75">
      <c r="A549" s="45"/>
      <c r="B549" s="169" t="s">
        <v>82</v>
      </c>
      <c r="C549" s="33"/>
      <c r="D549" s="35">
        <v>57</v>
      </c>
      <c r="E549" s="35">
        <v>43</v>
      </c>
      <c r="F549" s="36"/>
      <c r="G549" s="36"/>
      <c r="H549" s="36"/>
      <c r="I549" s="36"/>
      <c r="J549" s="36"/>
      <c r="K549" s="30"/>
      <c r="L549" s="30"/>
      <c r="M549" s="30">
        <v>1.9</v>
      </c>
      <c r="N549" s="30">
        <v>0.005</v>
      </c>
      <c r="O549" s="30">
        <v>4</v>
      </c>
      <c r="P549" s="31">
        <v>0.17</v>
      </c>
      <c r="Q549" s="30">
        <v>30.9</v>
      </c>
      <c r="R549" s="30">
        <v>67.3</v>
      </c>
      <c r="S549" s="30">
        <v>22.5</v>
      </c>
      <c r="T549" s="30">
        <v>0.76</v>
      </c>
      <c r="U549" s="60">
        <v>50.25</v>
      </c>
      <c r="V549" s="60">
        <f>D549*U549/1000</f>
        <v>2.86425</v>
      </c>
    </row>
    <row r="550" spans="2:206" s="45" customFormat="1" ht="15.75">
      <c r="B550" s="169" t="s">
        <v>83</v>
      </c>
      <c r="C550" s="33"/>
      <c r="D550" s="35">
        <v>62</v>
      </c>
      <c r="E550" s="35">
        <v>43</v>
      </c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60"/>
      <c r="V550" s="60">
        <f aca="true" t="shared" si="42" ref="V550:V555">D550*U550/1000</f>
        <v>0</v>
      </c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</row>
    <row r="551" spans="2:206" s="45" customFormat="1" ht="15.75">
      <c r="B551" s="169" t="s">
        <v>84</v>
      </c>
      <c r="C551" s="33"/>
      <c r="D551" s="35">
        <v>65</v>
      </c>
      <c r="E551" s="35">
        <v>43</v>
      </c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60"/>
      <c r="V551" s="60">
        <f t="shared" si="42"/>
        <v>0</v>
      </c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</row>
    <row r="552" spans="2:206" s="45" customFormat="1" ht="15.75">
      <c r="B552" s="169" t="s">
        <v>85</v>
      </c>
      <c r="C552" s="33"/>
      <c r="D552" s="35">
        <v>72</v>
      </c>
      <c r="E552" s="35">
        <v>43</v>
      </c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60"/>
      <c r="V552" s="60">
        <f t="shared" si="42"/>
        <v>0</v>
      </c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</row>
    <row r="553" spans="2:206" s="45" customFormat="1" ht="15.75">
      <c r="B553" s="169" t="s">
        <v>86</v>
      </c>
      <c r="C553" s="33"/>
      <c r="D553" s="35">
        <v>7</v>
      </c>
      <c r="E553" s="35">
        <v>7</v>
      </c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60">
        <v>55.18</v>
      </c>
      <c r="V553" s="60">
        <f t="shared" si="42"/>
        <v>0.38626</v>
      </c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</row>
    <row r="554" spans="2:206" s="45" customFormat="1" ht="15.75">
      <c r="B554" s="169" t="s">
        <v>58</v>
      </c>
      <c r="C554" s="33"/>
      <c r="D554" s="35">
        <v>1.2</v>
      </c>
      <c r="E554" s="35">
        <v>1.2</v>
      </c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60">
        <v>653.09</v>
      </c>
      <c r="V554" s="60">
        <f t="shared" si="42"/>
        <v>0.783708</v>
      </c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</row>
    <row r="555" spans="2:206" s="45" customFormat="1" ht="15.75">
      <c r="B555" s="140" t="s">
        <v>14</v>
      </c>
      <c r="C555" s="33"/>
      <c r="D555" s="35">
        <v>0.3</v>
      </c>
      <c r="E555" s="35">
        <v>0.3</v>
      </c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60">
        <v>11.9</v>
      </c>
      <c r="V555" s="60">
        <f t="shared" si="42"/>
        <v>0.00357</v>
      </c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</row>
    <row r="556" spans="1:206" s="45" customFormat="1" ht="15.75">
      <c r="A556" s="10"/>
      <c r="B556" s="141" t="s">
        <v>122</v>
      </c>
      <c r="C556" s="40">
        <v>130</v>
      </c>
      <c r="D556" s="40"/>
      <c r="E556" s="40"/>
      <c r="F556" s="40">
        <v>3.1</v>
      </c>
      <c r="G556" s="40">
        <v>2.9</v>
      </c>
      <c r="H556" s="40">
        <v>13.3</v>
      </c>
      <c r="I556" s="40">
        <v>169</v>
      </c>
      <c r="J556" s="40">
        <v>1.3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41"/>
      <c r="V556" s="34">
        <f>SUM(V557:V565)</f>
        <v>10.469897000000001</v>
      </c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</row>
    <row r="557" spans="1:22" s="10" customFormat="1" ht="15.75">
      <c r="A557" s="6"/>
      <c r="B557" s="154" t="s">
        <v>2</v>
      </c>
      <c r="C557" s="40"/>
      <c r="D557" s="69">
        <v>185</v>
      </c>
      <c r="E557" s="69">
        <v>148</v>
      </c>
      <c r="F557" s="71"/>
      <c r="G557" s="71"/>
      <c r="H557" s="71"/>
      <c r="I557" s="71"/>
      <c r="J557" s="71"/>
      <c r="K557" s="40"/>
      <c r="L557" s="40"/>
      <c r="M557" s="40">
        <v>9.2</v>
      </c>
      <c r="N557" s="40">
        <v>0.02</v>
      </c>
      <c r="O557" s="40">
        <v>0</v>
      </c>
      <c r="P557" s="40">
        <v>0.05</v>
      </c>
      <c r="Q557" s="40">
        <v>28.5</v>
      </c>
      <c r="R557" s="40">
        <v>1.2</v>
      </c>
      <c r="S557" s="40">
        <v>0.6</v>
      </c>
      <c r="T557" s="40">
        <v>0.3</v>
      </c>
      <c r="U557" s="86">
        <v>39.19</v>
      </c>
      <c r="V557" s="60">
        <f>D557*U557/1000</f>
        <v>7.25015</v>
      </c>
    </row>
    <row r="558" spans="2:22" s="6" customFormat="1" ht="15.75">
      <c r="B558" s="154" t="s">
        <v>57</v>
      </c>
      <c r="C558" s="40"/>
      <c r="D558" s="69">
        <v>6.5</v>
      </c>
      <c r="E558" s="69">
        <v>6.5</v>
      </c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86">
        <v>125.7</v>
      </c>
      <c r="V558" s="60">
        <f aca="true" t="shared" si="43" ref="V558:V565">D558*U558/1000</f>
        <v>0.81705</v>
      </c>
    </row>
    <row r="559" spans="2:22" s="6" customFormat="1" ht="15.75">
      <c r="B559" s="154" t="s">
        <v>60</v>
      </c>
      <c r="C559" s="40"/>
      <c r="D559" s="69">
        <v>6.3</v>
      </c>
      <c r="E559" s="69">
        <v>5</v>
      </c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86">
        <v>81.72</v>
      </c>
      <c r="V559" s="60">
        <f t="shared" si="43"/>
        <v>0.514836</v>
      </c>
    </row>
    <row r="560" spans="2:22" s="6" customFormat="1" ht="15.75">
      <c r="B560" s="154" t="s">
        <v>59</v>
      </c>
      <c r="C560" s="40"/>
      <c r="D560" s="69">
        <v>6.7</v>
      </c>
      <c r="E560" s="69">
        <v>5</v>
      </c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86"/>
      <c r="V560" s="60">
        <f t="shared" si="43"/>
        <v>0</v>
      </c>
    </row>
    <row r="561" spans="2:22" s="6" customFormat="1" ht="15.75">
      <c r="B561" s="154" t="s">
        <v>55</v>
      </c>
      <c r="C561" s="40"/>
      <c r="D561" s="69">
        <v>12</v>
      </c>
      <c r="E561" s="69">
        <v>10</v>
      </c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86">
        <v>32.75</v>
      </c>
      <c r="V561" s="60">
        <f t="shared" si="43"/>
        <v>0.393</v>
      </c>
    </row>
    <row r="562" spans="2:22" s="6" customFormat="1" ht="15.75">
      <c r="B562" s="157" t="s">
        <v>250</v>
      </c>
      <c r="C562" s="40"/>
      <c r="D562" s="69">
        <v>5.2</v>
      </c>
      <c r="E562" s="69">
        <v>5.2</v>
      </c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86">
        <v>264</v>
      </c>
      <c r="V562" s="60">
        <f t="shared" si="43"/>
        <v>1.3728</v>
      </c>
    </row>
    <row r="563" spans="2:22" s="6" customFormat="1" ht="15.75">
      <c r="B563" s="157" t="s">
        <v>56</v>
      </c>
      <c r="C563" s="40"/>
      <c r="D563" s="69">
        <v>2.2</v>
      </c>
      <c r="E563" s="69">
        <v>2.2</v>
      </c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86">
        <v>39.08</v>
      </c>
      <c r="V563" s="60">
        <f t="shared" si="43"/>
        <v>0.085976</v>
      </c>
    </row>
    <row r="564" spans="2:22" s="6" customFormat="1" ht="15.75">
      <c r="B564" s="154" t="s">
        <v>62</v>
      </c>
      <c r="C564" s="40"/>
      <c r="D564" s="69">
        <v>0.5</v>
      </c>
      <c r="E564" s="69">
        <v>0.5</v>
      </c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86">
        <v>53.13</v>
      </c>
      <c r="V564" s="60">
        <f t="shared" si="43"/>
        <v>0.026565000000000002</v>
      </c>
    </row>
    <row r="565" spans="2:22" s="6" customFormat="1" ht="15.75">
      <c r="B565" s="154" t="s">
        <v>14</v>
      </c>
      <c r="C565" s="40"/>
      <c r="D565" s="69">
        <v>0.8</v>
      </c>
      <c r="E565" s="69">
        <v>0.8</v>
      </c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86">
        <v>11.9</v>
      </c>
      <c r="V565" s="60">
        <f t="shared" si="43"/>
        <v>0.00952</v>
      </c>
    </row>
    <row r="566" spans="1:22" s="6" customFormat="1" ht="15.75">
      <c r="A566" s="15"/>
      <c r="B566" s="369" t="s">
        <v>268</v>
      </c>
      <c r="C566" s="40">
        <v>200</v>
      </c>
      <c r="D566" s="40"/>
      <c r="E566" s="40"/>
      <c r="F566" s="41">
        <v>0.1</v>
      </c>
      <c r="G566" s="41">
        <v>0</v>
      </c>
      <c r="H566" s="74">
        <v>2.8</v>
      </c>
      <c r="I566" s="40">
        <v>48</v>
      </c>
      <c r="J566" s="40">
        <v>0.3</v>
      </c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25"/>
      <c r="V566" s="34">
        <f>SUM(V567:V568)</f>
        <v>0.5400900000000001</v>
      </c>
    </row>
    <row r="567" spans="1:22" s="10" customFormat="1" ht="15.75">
      <c r="A567" s="16"/>
      <c r="B567" s="370" t="s">
        <v>93</v>
      </c>
      <c r="C567" s="40"/>
      <c r="D567" s="69">
        <v>1</v>
      </c>
      <c r="E567" s="69">
        <v>1</v>
      </c>
      <c r="F567" s="69"/>
      <c r="G567" s="69"/>
      <c r="H567" s="86"/>
      <c r="I567" s="69"/>
      <c r="J567" s="69"/>
      <c r="K567" s="17"/>
      <c r="L567" s="19">
        <f>SUM(L568:L568)</f>
        <v>0.505</v>
      </c>
      <c r="M567" s="19">
        <v>0</v>
      </c>
      <c r="N567" s="19">
        <v>0</v>
      </c>
      <c r="O567" s="19">
        <v>0.2</v>
      </c>
      <c r="P567" s="19">
        <v>0</v>
      </c>
      <c r="Q567" s="17">
        <v>0.42</v>
      </c>
      <c r="R567" s="17">
        <v>0.69</v>
      </c>
      <c r="S567" s="17">
        <v>0.09</v>
      </c>
      <c r="T567" s="17">
        <v>0.04</v>
      </c>
      <c r="U567" s="32">
        <v>540.09</v>
      </c>
      <c r="V567" s="60">
        <f>D567*U567/1000</f>
        <v>0.5400900000000001</v>
      </c>
    </row>
    <row r="568" spans="1:22" s="6" customFormat="1" ht="15.75">
      <c r="A568" s="16"/>
      <c r="B568" s="370" t="s">
        <v>54</v>
      </c>
      <c r="C568" s="40"/>
      <c r="D568" s="69">
        <v>200</v>
      </c>
      <c r="E568" s="69">
        <v>200</v>
      </c>
      <c r="F568" s="69"/>
      <c r="G568" s="69"/>
      <c r="H568" s="69"/>
      <c r="I568" s="69"/>
      <c r="J568" s="69"/>
      <c r="K568" s="20">
        <v>505</v>
      </c>
      <c r="L568" s="22">
        <f>K568*D567/1000</f>
        <v>0.505</v>
      </c>
      <c r="M568" s="21"/>
      <c r="N568" s="21"/>
      <c r="O568" s="21"/>
      <c r="P568" s="21"/>
      <c r="Q568" s="21"/>
      <c r="R568" s="21"/>
      <c r="S568" s="21"/>
      <c r="T568" s="21"/>
      <c r="U568" s="25"/>
      <c r="V568" s="60">
        <f>D568*U568/1000</f>
        <v>0</v>
      </c>
    </row>
    <row r="569" spans="1:22" s="6" customFormat="1" ht="15.75">
      <c r="A569" s="70"/>
      <c r="B569" s="123" t="s">
        <v>53</v>
      </c>
      <c r="C569" s="40">
        <v>40</v>
      </c>
      <c r="D569" s="69"/>
      <c r="E569" s="69"/>
      <c r="F569" s="40">
        <v>2.8</v>
      </c>
      <c r="G569" s="40">
        <v>0.48</v>
      </c>
      <c r="H569" s="40">
        <v>15.6</v>
      </c>
      <c r="I569" s="87">
        <v>80</v>
      </c>
      <c r="J569" s="74">
        <v>1.5</v>
      </c>
      <c r="K569" s="20"/>
      <c r="L569" s="22"/>
      <c r="M569" s="21"/>
      <c r="N569" s="21"/>
      <c r="O569" s="21"/>
      <c r="P569" s="21"/>
      <c r="Q569" s="21"/>
      <c r="R569" s="21"/>
      <c r="S569" s="21"/>
      <c r="T569" s="21"/>
      <c r="U569" s="35">
        <v>50.08</v>
      </c>
      <c r="V569" s="34">
        <f>C569*U569/1000</f>
        <v>2.0031999999999996</v>
      </c>
    </row>
    <row r="570" spans="1:22" s="70" customFormat="1" ht="31.5">
      <c r="A570" s="276" t="s">
        <v>198</v>
      </c>
      <c r="B570" s="317"/>
      <c r="C570" s="277">
        <v>995</v>
      </c>
      <c r="D570" s="277"/>
      <c r="E570" s="278"/>
      <c r="F570" s="413">
        <f aca="true" t="shared" si="44" ref="F570:T570">F526+F527+F541+F547+F566+F569</f>
        <v>43.1</v>
      </c>
      <c r="G570" s="413">
        <f t="shared" si="44"/>
        <v>37.08</v>
      </c>
      <c r="H570" s="413">
        <f t="shared" si="44"/>
        <v>60.66</v>
      </c>
      <c r="I570" s="413">
        <f t="shared" si="44"/>
        <v>573</v>
      </c>
      <c r="J570" s="413">
        <f t="shared" si="44"/>
        <v>5.97</v>
      </c>
      <c r="K570" s="413">
        <f t="shared" si="44"/>
        <v>0</v>
      </c>
      <c r="L570" s="413">
        <f t="shared" si="44"/>
        <v>0</v>
      </c>
      <c r="M570" s="413">
        <f t="shared" si="44"/>
        <v>0.1</v>
      </c>
      <c r="N570" s="413">
        <f t="shared" si="44"/>
        <v>0.004</v>
      </c>
      <c r="O570" s="413">
        <f t="shared" si="44"/>
        <v>43.5</v>
      </c>
      <c r="P570" s="413">
        <f t="shared" si="44"/>
        <v>0.08</v>
      </c>
      <c r="Q570" s="413">
        <f t="shared" si="44"/>
        <v>132</v>
      </c>
      <c r="R570" s="413">
        <f t="shared" si="44"/>
        <v>75</v>
      </c>
      <c r="S570" s="413">
        <f t="shared" si="44"/>
        <v>0.05</v>
      </c>
      <c r="T570" s="413">
        <f t="shared" si="44"/>
        <v>0.2</v>
      </c>
      <c r="U570" s="413"/>
      <c r="V570" s="413">
        <f>V526+V527+V541+V547+V566+V569</f>
        <v>102.59887</v>
      </c>
    </row>
    <row r="571" spans="1:22" s="7" customFormat="1" ht="31.5">
      <c r="A571" s="280" t="s">
        <v>199</v>
      </c>
      <c r="B571" s="318"/>
      <c r="C571" s="281" t="s">
        <v>200</v>
      </c>
      <c r="D571" s="282"/>
      <c r="E571" s="282"/>
      <c r="F571" s="414">
        <f aca="true" t="shared" si="45" ref="F571:T571">F523+F570</f>
        <v>63</v>
      </c>
      <c r="G571" s="414">
        <f t="shared" si="45"/>
        <v>54.92</v>
      </c>
      <c r="H571" s="414">
        <f t="shared" si="45"/>
        <v>103.75999999999999</v>
      </c>
      <c r="I571" s="414">
        <f t="shared" si="45"/>
        <v>1162</v>
      </c>
      <c r="J571" s="414">
        <f t="shared" si="45"/>
        <v>10.17</v>
      </c>
      <c r="K571" s="414">
        <f t="shared" si="45"/>
        <v>0</v>
      </c>
      <c r="L571" s="414" t="e">
        <f t="shared" si="45"/>
        <v>#REF!</v>
      </c>
      <c r="M571" s="414">
        <f t="shared" si="45"/>
        <v>16.1</v>
      </c>
      <c r="N571" s="414">
        <f t="shared" si="45"/>
        <v>0.024</v>
      </c>
      <c r="O571" s="414">
        <f t="shared" si="45"/>
        <v>43.5</v>
      </c>
      <c r="P571" s="414">
        <f t="shared" si="45"/>
        <v>0.25</v>
      </c>
      <c r="Q571" s="414">
        <f t="shared" si="45"/>
        <v>134.97</v>
      </c>
      <c r="R571" s="414">
        <f t="shared" si="45"/>
        <v>84.6</v>
      </c>
      <c r="S571" s="414">
        <f t="shared" si="45"/>
        <v>2.13</v>
      </c>
      <c r="T571" s="414">
        <f t="shared" si="45"/>
        <v>0.36</v>
      </c>
      <c r="U571" s="414"/>
      <c r="V571" s="414">
        <f>V523+V570</f>
        <v>140.58809000000002</v>
      </c>
    </row>
    <row r="572" spans="1:22" s="10" customFormat="1" ht="47.25">
      <c r="A572" s="330" t="s">
        <v>218</v>
      </c>
      <c r="B572" s="289"/>
      <c r="C572" s="290" t="s">
        <v>219</v>
      </c>
      <c r="D572" s="291"/>
      <c r="E572" s="291"/>
      <c r="F572" s="424">
        <f>(F53+F109+F166+F223+F271+F324+F393+F445+F506+F571)</f>
        <v>550.8399999999999</v>
      </c>
      <c r="G572" s="424">
        <f>(G53+G109+G166+G223+G271+G324+G393+G445+G506+G571)</f>
        <v>509.28000000000003</v>
      </c>
      <c r="H572" s="424">
        <f>(H53+H109+H166+H223+H271+H324+H393+H445+H506+H571)</f>
        <v>1438.18</v>
      </c>
      <c r="I572" s="424">
        <f>(I53+I109+I166+I223+I271+I324+I393+I445+I506+I571)</f>
        <v>13430.33</v>
      </c>
      <c r="J572" s="424">
        <f>(J53+J109+J166+J223+J271+J324+J393+J445+J506+J571)</f>
        <v>130.21</v>
      </c>
      <c r="K572" s="424" t="e">
        <f>(K53+K109+K166+K223+K271+K324+K393+K445+K506+K571)</f>
        <v>#REF!</v>
      </c>
      <c r="L572" s="424" t="e">
        <f>(L53+L109+L166+L223+L271+L324+L393+L445+L506+L571)</f>
        <v>#REF!</v>
      </c>
      <c r="M572" s="424" t="e">
        <f>(M53+M109+M166+M223+M271+M324+M393+M445+M506+M571)</f>
        <v>#REF!</v>
      </c>
      <c r="N572" s="424" t="e">
        <f>(N53+N109+N166+N223+N271+N324+N393+N445+N506+N571)</f>
        <v>#REF!</v>
      </c>
      <c r="O572" s="424" t="e">
        <f>(O53+O109+O166+O223+O271+O324+O393+O445+O506+O571)</f>
        <v>#REF!</v>
      </c>
      <c r="P572" s="424" t="e">
        <f>(P53+P109+P166+P223+P271+P324+P393+P445+P506+P571)</f>
        <v>#REF!</v>
      </c>
      <c r="Q572" s="424" t="e">
        <f>(Q53+Q109+Q166+Q223+Q271+Q324+Q393+Q445+Q506+Q571)</f>
        <v>#REF!</v>
      </c>
      <c r="R572" s="424" t="e">
        <f>(R53+R109+R166+R223+R271+R324+R393+R445+R506+R571)</f>
        <v>#REF!</v>
      </c>
      <c r="S572" s="424" t="e">
        <f>(S53+S109+S166+S223+S271+S324+S393+S445+S506+S571)</f>
        <v>#REF!</v>
      </c>
      <c r="T572" s="424" t="e">
        <f>(T53+T109+T166+T223+T271+T324+T393+T445+T506+T571)</f>
        <v>#REF!</v>
      </c>
      <c r="U572" s="424">
        <f>(U53+U109+U166+U223+U271+U324+U393+U445+U506+U571)</f>
        <v>50.08</v>
      </c>
      <c r="V572" s="424">
        <f>(V53+V109+V166+V223+V271+V324+V393+V445+V506+V571)/10</f>
        <v>171.39264739999996</v>
      </c>
    </row>
    <row r="573" spans="1:22" s="10" customFormat="1" ht="15.75">
      <c r="A573" s="331"/>
      <c r="B573" s="331"/>
      <c r="C573" s="331"/>
      <c r="D573" s="331"/>
      <c r="E573" s="331"/>
      <c r="F573" s="331">
        <v>60.2</v>
      </c>
      <c r="G573" s="331">
        <v>56.9</v>
      </c>
      <c r="H573" s="331">
        <v>222.5</v>
      </c>
      <c r="I573" s="331">
        <v>1627</v>
      </c>
      <c r="J573" s="331">
        <v>14.2</v>
      </c>
      <c r="K573" s="292" t="e">
        <f>SUM(K53+K109+K166+K223+#REF!+K325+K394+K446+K507+K572)</f>
        <v>#REF!</v>
      </c>
      <c r="L573" s="292" t="e">
        <f>SUM(L53+L109+L166+L223+#REF!+L325+L394+L446+L507+L572)</f>
        <v>#REF!</v>
      </c>
      <c r="M573" s="292" t="e">
        <f>SUM(M53+M109+M166+M223+#REF!+M325+M394+M446+M507+M572)</f>
        <v>#REF!</v>
      </c>
      <c r="N573" s="292" t="e">
        <f>SUM(N53+N109+N166+N223+#REF!+N325+N394+N446+N507+N572)</f>
        <v>#REF!</v>
      </c>
      <c r="O573" s="292" t="e">
        <f>SUM(O53+O109+O166+O223+#REF!+O325+O394+O446+O507+O572)</f>
        <v>#REF!</v>
      </c>
      <c r="P573" s="292" t="e">
        <f>SUM(P53+P109+P166+P223+#REF!+P325+P394+P446+P507+P572)</f>
        <v>#REF!</v>
      </c>
      <c r="Q573" s="292" t="e">
        <f>SUM(Q53+Q109+Q166+Q223+#REF!+Q325+Q394+Q446+Q507+Q572)</f>
        <v>#REF!</v>
      </c>
      <c r="R573" s="292" t="e">
        <f>SUM(R53+R109+R166+R223+#REF!+R325+R394+R446+R507+R572)</f>
        <v>#REF!</v>
      </c>
      <c r="S573" s="292" t="e">
        <f>SUM(S53+S109+S166+S223+#REF!+S325+S394+S446+S507+S572)</f>
        <v>#REF!</v>
      </c>
      <c r="T573" s="292" t="e">
        <f>SUM(T53+T109+T166+T223+#REF!+T325+T394+T446+T507+T572)</f>
        <v>#REF!</v>
      </c>
      <c r="U573"/>
      <c r="V573"/>
    </row>
    <row r="574" spans="13:20" ht="15.75">
      <c r="M574" s="331">
        <v>63</v>
      </c>
      <c r="N574" s="331">
        <v>0.22</v>
      </c>
      <c r="O574" s="331">
        <v>449</v>
      </c>
      <c r="P574" s="331">
        <v>259</v>
      </c>
      <c r="Q574" s="331">
        <v>850</v>
      </c>
      <c r="R574" s="332">
        <v>1022</v>
      </c>
      <c r="S574" s="331">
        <v>248</v>
      </c>
      <c r="T574" s="331">
        <v>18</v>
      </c>
    </row>
  </sheetData>
  <sheetProtection/>
  <mergeCells count="6">
    <mergeCell ref="B1:R1"/>
    <mergeCell ref="A2:A3"/>
    <mergeCell ref="B2:B3"/>
    <mergeCell ref="F2:H2"/>
    <mergeCell ref="I2:I3"/>
    <mergeCell ref="J2:J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0">
      <selection activeCell="G9" sqref="G9"/>
    </sheetView>
  </sheetViews>
  <sheetFormatPr defaultColWidth="9.140625" defaultRowHeight="15"/>
  <cols>
    <col min="1" max="1" width="5.00390625" style="5" customWidth="1"/>
    <col min="2" max="4" width="9.00390625" style="243" customWidth="1"/>
    <col min="5" max="5" width="4.140625" style="243" customWidth="1"/>
    <col min="6" max="6" width="10.00390625" style="5" customWidth="1"/>
    <col min="7" max="7" width="9.00390625" style="9" customWidth="1"/>
    <col min="8" max="17" width="7.7109375" style="5" customWidth="1"/>
    <col min="18" max="20" width="7.7109375" style="9" customWidth="1"/>
  </cols>
  <sheetData>
    <row r="1" spans="1:20" ht="15">
      <c r="A1" s="398" t="s">
        <v>235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209"/>
      <c r="S1" s="210"/>
      <c r="T1" s="211"/>
    </row>
    <row r="2" spans="1:20" ht="15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212"/>
      <c r="S2" s="213"/>
      <c r="T2" s="214"/>
    </row>
    <row r="3" spans="1:20" ht="15">
      <c r="A3" s="215"/>
      <c r="B3" s="395"/>
      <c r="C3" s="396"/>
      <c r="D3" s="396"/>
      <c r="E3" s="397"/>
      <c r="F3" s="402"/>
      <c r="G3" s="403"/>
      <c r="H3" s="404" t="s">
        <v>153</v>
      </c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6"/>
    </row>
    <row r="4" spans="1:20" ht="84">
      <c r="A4" s="217" t="s">
        <v>154</v>
      </c>
      <c r="B4" s="407" t="s">
        <v>155</v>
      </c>
      <c r="C4" s="407"/>
      <c r="D4" s="407"/>
      <c r="E4" s="408"/>
      <c r="F4" s="218" t="s">
        <v>156</v>
      </c>
      <c r="G4" s="219" t="s">
        <v>220</v>
      </c>
      <c r="H4" s="390" t="s">
        <v>157</v>
      </c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409"/>
    </row>
    <row r="5" spans="1:20" ht="36">
      <c r="A5" s="220"/>
      <c r="B5" s="395"/>
      <c r="C5" s="396"/>
      <c r="D5" s="396"/>
      <c r="E5" s="397"/>
      <c r="F5" s="221"/>
      <c r="G5" s="222"/>
      <c r="H5" s="223">
        <v>1</v>
      </c>
      <c r="I5" s="224">
        <v>2</v>
      </c>
      <c r="J5" s="224">
        <v>3</v>
      </c>
      <c r="K5" s="216">
        <v>4</v>
      </c>
      <c r="L5" s="216">
        <v>5</v>
      </c>
      <c r="M5" s="224">
        <v>6</v>
      </c>
      <c r="N5" s="224">
        <v>7</v>
      </c>
      <c r="O5" s="216">
        <v>8</v>
      </c>
      <c r="P5" s="223">
        <v>9</v>
      </c>
      <c r="Q5" s="224">
        <v>10</v>
      </c>
      <c r="R5" s="225" t="s">
        <v>158</v>
      </c>
      <c r="S5" s="226" t="s">
        <v>159</v>
      </c>
      <c r="T5" s="227" t="s">
        <v>160</v>
      </c>
    </row>
    <row r="6" spans="1:20" ht="15">
      <c r="A6" s="228">
        <v>1</v>
      </c>
      <c r="B6" s="388" t="s">
        <v>161</v>
      </c>
      <c r="C6" s="388"/>
      <c r="D6" s="388"/>
      <c r="E6" s="388"/>
      <c r="F6" s="25">
        <v>120</v>
      </c>
      <c r="G6" s="229">
        <v>90</v>
      </c>
      <c r="H6" s="32">
        <f>'Меню '!E8+'Меню '!C21+'Меню '!C51</f>
        <v>110</v>
      </c>
      <c r="I6" s="32">
        <f>'Меню '!E57+'Меню '!C75+'Меню '!C107</f>
        <v>90</v>
      </c>
      <c r="J6" s="32">
        <f>'Меню '!E113+'Меню '!C129+'Меню '!C164</f>
        <v>90</v>
      </c>
      <c r="K6" s="32">
        <f>'Меню '!D170+'Меню '!C181+'Меню '!C221</f>
        <v>90</v>
      </c>
      <c r="L6" s="32">
        <f>'Меню '!E227+'Меню '!C242+'Меню '!C269</f>
        <v>90</v>
      </c>
      <c r="M6" s="32">
        <f>'Меню '!C291+'Меню '!C322</f>
        <v>60</v>
      </c>
      <c r="N6" s="32">
        <f>'Меню '!D328+'Меню '!C344+'Меню '!C391</f>
        <v>110</v>
      </c>
      <c r="O6" s="32">
        <f>'Меню '!D397+'Меню '!C409+'Меню '!C443</f>
        <v>90</v>
      </c>
      <c r="P6" s="32">
        <f>'Меню '!C465+'Меню '!C504</f>
        <v>80</v>
      </c>
      <c r="Q6" s="32">
        <f>'Меню '!D510+'Меню '!C522+'Меню '!C569</f>
        <v>90</v>
      </c>
      <c r="R6" s="25">
        <f aca="true" t="shared" si="0" ref="R6:R36">SUM(H6:Q6)</f>
        <v>900</v>
      </c>
      <c r="S6" s="25">
        <f aca="true" t="shared" si="1" ref="S6:S36">(H6+I6+J6+K6+L6+M6+N6+O6+P6+Q6)/10</f>
        <v>90</v>
      </c>
      <c r="T6" s="230">
        <f aca="true" t="shared" si="2" ref="T6:T35">S6/G6*100</f>
        <v>100</v>
      </c>
    </row>
    <row r="7" spans="1:20" ht="15">
      <c r="A7" s="228">
        <v>2</v>
      </c>
      <c r="B7" s="388" t="s">
        <v>162</v>
      </c>
      <c r="C7" s="388"/>
      <c r="D7" s="388"/>
      <c r="E7" s="388"/>
      <c r="F7" s="25">
        <v>200</v>
      </c>
      <c r="G7" s="229">
        <v>10</v>
      </c>
      <c r="H7" s="32"/>
      <c r="I7" s="32"/>
      <c r="J7" s="32">
        <f>'Меню '!D120</f>
        <v>7.2</v>
      </c>
      <c r="K7" s="32" t="e">
        <f>'Меню '!#REF!+'Меню '!#REF!</f>
        <v>#REF!</v>
      </c>
      <c r="L7" s="32" t="e">
        <f>'Меню '!#REF!</f>
        <v>#REF!</v>
      </c>
      <c r="M7" s="32"/>
      <c r="N7" s="32">
        <f>'Меню '!D335+'Меню '!D358</f>
        <v>45.2</v>
      </c>
      <c r="O7" s="32" t="e">
        <f>'Меню '!#REF!</f>
        <v>#REF!</v>
      </c>
      <c r="P7" s="32" t="e">
        <f>'Меню '!#REF!</f>
        <v>#REF!</v>
      </c>
      <c r="Q7" s="32"/>
      <c r="R7" s="25" t="e">
        <f t="shared" si="0"/>
        <v>#REF!</v>
      </c>
      <c r="S7" s="25" t="e">
        <f t="shared" si="1"/>
        <v>#REF!</v>
      </c>
      <c r="T7" s="230" t="e">
        <f t="shared" si="2"/>
        <v>#REF!</v>
      </c>
    </row>
    <row r="8" spans="1:20" ht="15">
      <c r="A8" s="228">
        <v>3</v>
      </c>
      <c r="B8" s="388" t="s">
        <v>163</v>
      </c>
      <c r="C8" s="388"/>
      <c r="D8" s="388"/>
      <c r="E8" s="388"/>
      <c r="F8" s="25">
        <v>20</v>
      </c>
      <c r="G8" s="229">
        <v>3.5</v>
      </c>
      <c r="H8" s="32"/>
      <c r="I8" s="32"/>
      <c r="J8" s="32">
        <f>'Меню '!D152</f>
        <v>5.8</v>
      </c>
      <c r="K8" s="32" t="e">
        <f>'Меню '!#REF!</f>
        <v>#REF!</v>
      </c>
      <c r="L8" s="32"/>
      <c r="M8" s="32"/>
      <c r="N8" s="32" t="e">
        <f>'Меню '!#REF!+'Меню '!D385</f>
        <v>#REF!</v>
      </c>
      <c r="O8" s="32"/>
      <c r="P8" s="32" t="e">
        <f>'Меню '!#REF!+'Меню '!E488</f>
        <v>#REF!</v>
      </c>
      <c r="Q8" s="32">
        <f>'Меню '!D563</f>
        <v>2.2</v>
      </c>
      <c r="R8" s="231" t="e">
        <f t="shared" si="0"/>
        <v>#REF!</v>
      </c>
      <c r="S8" s="231" t="e">
        <f t="shared" si="1"/>
        <v>#REF!</v>
      </c>
      <c r="T8" s="230" t="e">
        <f t="shared" si="2"/>
        <v>#REF!</v>
      </c>
    </row>
    <row r="9" spans="1:20" ht="15">
      <c r="A9" s="228">
        <v>4</v>
      </c>
      <c r="B9" s="388" t="s">
        <v>164</v>
      </c>
      <c r="C9" s="388"/>
      <c r="D9" s="388"/>
      <c r="E9" s="388"/>
      <c r="F9" s="25">
        <v>50</v>
      </c>
      <c r="G9" s="229">
        <v>32</v>
      </c>
      <c r="H9" s="32">
        <f>'Меню '!E11+'Меню '!E43</f>
        <v>67</v>
      </c>
      <c r="I9" s="32"/>
      <c r="J9" s="32">
        <f>'Меню '!E117+'Меню '!E156</f>
        <v>77</v>
      </c>
      <c r="K9" s="32">
        <f>'Меню '!D213</f>
        <v>42</v>
      </c>
      <c r="L9" s="32"/>
      <c r="M9" s="32">
        <f>'Меню '!D313</f>
        <v>52</v>
      </c>
      <c r="N9" s="32"/>
      <c r="O9" s="39">
        <f>'Меню '!D434</f>
        <v>63</v>
      </c>
      <c r="P9" s="32"/>
      <c r="Q9" s="32" t="e">
        <f>'Меню '!#REF!+'Меню '!#REF!</f>
        <v>#REF!</v>
      </c>
      <c r="R9" s="25" t="e">
        <f t="shared" si="0"/>
        <v>#REF!</v>
      </c>
      <c r="S9" s="25" t="e">
        <f t="shared" si="1"/>
        <v>#REF!</v>
      </c>
      <c r="T9" s="230" t="e">
        <f t="shared" si="2"/>
        <v>#REF!</v>
      </c>
    </row>
    <row r="10" spans="1:20" ht="15">
      <c r="A10" s="228">
        <v>5</v>
      </c>
      <c r="B10" s="388" t="s">
        <v>165</v>
      </c>
      <c r="C10" s="388"/>
      <c r="D10" s="388"/>
      <c r="E10" s="388"/>
      <c r="F10" s="25">
        <v>20</v>
      </c>
      <c r="G10" s="229">
        <v>14</v>
      </c>
      <c r="H10" s="32"/>
      <c r="I10" s="32">
        <f>'Меню '!E86</f>
        <v>10</v>
      </c>
      <c r="J10" s="32"/>
      <c r="K10" s="32"/>
      <c r="L10" s="32">
        <f>'Меню '!D261</f>
        <v>63</v>
      </c>
      <c r="M10" s="32"/>
      <c r="N10" s="32"/>
      <c r="O10" s="32">
        <f>'Меню '!D401</f>
        <v>20</v>
      </c>
      <c r="P10" s="32">
        <f>'Меню '!D493</f>
        <v>50</v>
      </c>
      <c r="Q10" s="32"/>
      <c r="R10" s="25">
        <f t="shared" si="0"/>
        <v>143</v>
      </c>
      <c r="S10" s="25">
        <f t="shared" si="1"/>
        <v>14.3</v>
      </c>
      <c r="T10" s="232">
        <f t="shared" si="2"/>
        <v>102.14285714285715</v>
      </c>
    </row>
    <row r="11" spans="1:20" ht="15">
      <c r="A11" s="228">
        <v>6</v>
      </c>
      <c r="B11" s="388" t="s">
        <v>166</v>
      </c>
      <c r="C11" s="388"/>
      <c r="D11" s="388"/>
      <c r="E11" s="388"/>
      <c r="F11" s="25">
        <v>187</v>
      </c>
      <c r="G11" s="229">
        <v>90</v>
      </c>
      <c r="H11" s="32">
        <f>'Меню '!E26</f>
        <v>75</v>
      </c>
      <c r="I11" s="32">
        <f>'Меню '!D82</f>
        <v>99</v>
      </c>
      <c r="J11" s="32">
        <f>'Меню '!D138</f>
        <v>57</v>
      </c>
      <c r="K11" s="32">
        <f>'Меню '!D188</f>
        <v>40</v>
      </c>
      <c r="L11" s="32">
        <f>'Меню '!D248</f>
        <v>100</v>
      </c>
      <c r="M11" s="32">
        <f>'Меню '!D299</f>
        <v>100</v>
      </c>
      <c r="N11" s="32">
        <f>'Меню '!D350+'Меню '!D369</f>
        <v>151.5</v>
      </c>
      <c r="O11" s="32">
        <f>'Меню '!D418</f>
        <v>33</v>
      </c>
      <c r="P11" s="32">
        <f>'Меню '!D471</f>
        <v>133</v>
      </c>
      <c r="Q11" s="32">
        <f>'Меню '!D530+'Меню '!D549</f>
        <v>97</v>
      </c>
      <c r="R11" s="25">
        <f t="shared" si="0"/>
        <v>885.5</v>
      </c>
      <c r="S11" s="25">
        <f t="shared" si="1"/>
        <v>88.55</v>
      </c>
      <c r="T11" s="230">
        <f t="shared" si="2"/>
        <v>98.38888888888889</v>
      </c>
    </row>
    <row r="12" spans="1:20" ht="15">
      <c r="A12" s="228">
        <v>7</v>
      </c>
      <c r="B12" s="388" t="s">
        <v>167</v>
      </c>
      <c r="C12" s="388"/>
      <c r="D12" s="388"/>
      <c r="E12" s="388"/>
      <c r="F12" s="25">
        <v>320</v>
      </c>
      <c r="G12" s="229">
        <v>192</v>
      </c>
      <c r="H12" s="32" t="e">
        <f>'Меню '!#REF!+'Меню '!#REF!+'Меню '!#REF!+'Меню '!D30+'Меню '!#REF!+'Меню '!#REF!</f>
        <v>#REF!</v>
      </c>
      <c r="I12" s="32" t="e">
        <f>'Меню '!#REF!+'Меню '!D79+'Меню '!D87+'Меню '!D94+'Меню '!D95+'Меню '!D97+'Меню '!#REF!</f>
        <v>#REF!</v>
      </c>
      <c r="J12" s="32" t="e">
        <f>'Меню '!D136+'Меню '!D142+'Меню '!D144+'Меню '!#REF!</f>
        <v>#REF!</v>
      </c>
      <c r="K12" s="32" t="e">
        <f>'Меню '!#REF!+'Меню '!#REF!+'Меню '!D192+'Меню '!D194+'Меню '!#REF!+'Меню '!#REF!+'Меню '!#REF!+'Меню '!#REF!</f>
        <v>#REF!</v>
      </c>
      <c r="L12" s="32" t="e">
        <f>'Меню '!#REF!+'Меню '!D252+'Меню '!#REF!</f>
        <v>#REF!</v>
      </c>
      <c r="M12" s="32" t="e">
        <f>'Меню '!#REF!+'Меню '!#REF!+'Меню '!D303+'Меню '!D305+'Меню '!D306+'Меню '!D314+'Меню '!D316</f>
        <v>#REF!</v>
      </c>
      <c r="N12" s="32" t="e">
        <f>'Меню '!#REF!+'Меню '!#REF!+'Меню '!D355+'Меню '!D356+'Меню '!D364+'Меню '!#REF!+'Меню '!D373+'Меню '!D375+'Меню '!#REF!+'Меню '!D382+'Меню '!D384</f>
        <v>#REF!</v>
      </c>
      <c r="O12" s="39" t="e">
        <f>'Меню '!#REF!+'Меню '!D415+'Меню '!D417+'Меню '!D422+'Меню '!D424+'Меню '!#REF!+'Меню '!#REF!</f>
        <v>#REF!</v>
      </c>
      <c r="P12" s="32" t="e">
        <f>'Меню '!#REF!+'Меню '!#REF!+'Меню '!D475+'Меню '!D477+'Меню '!#REF!+'Меню '!#REF!+'Меню '!D495+'Меню '!D496</f>
        <v>#REF!</v>
      </c>
      <c r="Q12" s="32" t="e">
        <f>'Меню '!#REF!+'Меню '!D529+'Меню '!D534+'Меню '!D536+'Меню '!#REF!+'Меню '!D544+'Меню '!D557+'Меню '!D559+'Меню '!D561+'Меню '!#REF!</f>
        <v>#REF!</v>
      </c>
      <c r="R12" s="231" t="e">
        <f t="shared" si="0"/>
        <v>#REF!</v>
      </c>
      <c r="S12" s="231" t="e">
        <f t="shared" si="1"/>
        <v>#REF!</v>
      </c>
      <c r="T12" s="232" t="e">
        <f t="shared" si="2"/>
        <v>#REF!</v>
      </c>
    </row>
    <row r="13" spans="1:20" ht="15">
      <c r="A13" s="228">
        <v>8</v>
      </c>
      <c r="B13" s="388" t="s">
        <v>168</v>
      </c>
      <c r="C13" s="388"/>
      <c r="D13" s="388"/>
      <c r="E13" s="388"/>
      <c r="F13" s="25">
        <v>185</v>
      </c>
      <c r="G13" s="229">
        <v>85</v>
      </c>
      <c r="H13" s="1"/>
      <c r="I13" s="32">
        <f>'Меню '!C102</f>
        <v>130</v>
      </c>
      <c r="J13" s="32" t="e">
        <f>'Меню '!#REF!+'Меню '!#REF!</f>
        <v>#REF!</v>
      </c>
      <c r="K13" s="32" t="e">
        <f>'Меню '!#REF!+'Меню '!E180+'Меню '!#REF!</f>
        <v>#REF!</v>
      </c>
      <c r="L13" s="32" t="e">
        <f>'Меню '!#REF!+'Меню '!#REF!</f>
        <v>#REF!</v>
      </c>
      <c r="M13" s="32" t="e">
        <f>'Меню '!#REF!+'Меню '!#REF!</f>
        <v>#REF!</v>
      </c>
      <c r="N13" s="233" t="e">
        <f>'Меню '!#REF!</f>
        <v>#REF!</v>
      </c>
      <c r="O13" s="32" t="e">
        <f>'Меню '!E408+'Меню '!C438+'Меню '!#REF!</f>
        <v>#REF!</v>
      </c>
      <c r="P13" s="32"/>
      <c r="Q13" s="32" t="e">
        <f>'Меню '!#REF!+'Меню '!#REF!</f>
        <v>#REF!</v>
      </c>
      <c r="R13" s="25" t="e">
        <f t="shared" si="0"/>
        <v>#REF!</v>
      </c>
      <c r="S13" s="25" t="e">
        <f t="shared" si="1"/>
        <v>#REF!</v>
      </c>
      <c r="T13" s="232" t="e">
        <f t="shared" si="2"/>
        <v>#REF!</v>
      </c>
    </row>
    <row r="14" spans="1:20" ht="27" customHeight="1">
      <c r="A14" s="228">
        <v>9</v>
      </c>
      <c r="B14" s="388" t="s">
        <v>169</v>
      </c>
      <c r="C14" s="388"/>
      <c r="D14" s="388"/>
      <c r="E14" s="388"/>
      <c r="F14" s="25">
        <v>20</v>
      </c>
      <c r="G14" s="229">
        <v>4.5</v>
      </c>
      <c r="H14" s="32">
        <f>'Меню '!D48</f>
        <v>18</v>
      </c>
      <c r="I14" s="32">
        <f>'Меню '!D104</f>
        <v>25</v>
      </c>
      <c r="J14" s="32"/>
      <c r="K14" s="32"/>
      <c r="L14" s="32"/>
      <c r="M14" s="32"/>
      <c r="N14" s="32"/>
      <c r="O14" s="32" t="e">
        <f>'Меню '!#REF!</f>
        <v>#REF!</v>
      </c>
      <c r="P14" s="32"/>
      <c r="Q14" s="32"/>
      <c r="R14" s="25" t="e">
        <f t="shared" si="0"/>
        <v>#REF!</v>
      </c>
      <c r="S14" s="25" t="e">
        <f t="shared" si="1"/>
        <v>#REF!</v>
      </c>
      <c r="T14" s="232" t="e">
        <f t="shared" si="2"/>
        <v>#REF!</v>
      </c>
    </row>
    <row r="15" spans="1:20" ht="34.5" customHeight="1">
      <c r="A15" s="228">
        <v>10</v>
      </c>
      <c r="B15" s="394" t="s">
        <v>170</v>
      </c>
      <c r="C15" s="394"/>
      <c r="D15" s="394"/>
      <c r="E15" s="394"/>
      <c r="F15" s="25">
        <v>200</v>
      </c>
      <c r="G15" s="229">
        <v>120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25">
        <f t="shared" si="0"/>
        <v>0</v>
      </c>
      <c r="S15" s="25">
        <f t="shared" si="1"/>
        <v>0</v>
      </c>
      <c r="T15" s="234">
        <f t="shared" si="2"/>
        <v>0</v>
      </c>
    </row>
    <row r="16" spans="1:20" ht="24" customHeight="1">
      <c r="A16" s="228">
        <v>11</v>
      </c>
      <c r="B16" s="388" t="s">
        <v>171</v>
      </c>
      <c r="C16" s="388"/>
      <c r="D16" s="388"/>
      <c r="E16" s="388"/>
      <c r="F16" s="25">
        <v>78</v>
      </c>
      <c r="G16" s="229">
        <v>47</v>
      </c>
      <c r="H16" s="32"/>
      <c r="I16" s="32" t="e">
        <f>'Меню '!#REF!</f>
        <v>#REF!</v>
      </c>
      <c r="J16" s="32" t="e">
        <f>'Меню '!#REF!</f>
        <v>#REF!</v>
      </c>
      <c r="K16" s="32" t="e">
        <f>'Меню '!#REF!</f>
        <v>#REF!</v>
      </c>
      <c r="L16" s="32"/>
      <c r="M16" s="32" t="e">
        <f>'Меню '!#REF!</f>
        <v>#REF!</v>
      </c>
      <c r="N16" s="32" t="e">
        <f>'Меню '!#REF!+'Меню '!#REF!</f>
        <v>#REF!</v>
      </c>
      <c r="O16" s="32" t="e">
        <f>'Меню '!#REF!</f>
        <v>#REF!</v>
      </c>
      <c r="P16" s="32" t="e">
        <f>'Меню '!#REF!+'Меню '!#REF!</f>
        <v>#REF!</v>
      </c>
      <c r="Q16" s="32" t="e">
        <f>'Меню '!#REF!</f>
        <v>#REF!</v>
      </c>
      <c r="R16" s="25" t="e">
        <f t="shared" si="0"/>
        <v>#REF!</v>
      </c>
      <c r="S16" s="25" t="e">
        <f t="shared" si="1"/>
        <v>#REF!</v>
      </c>
      <c r="T16" s="230" t="e">
        <f t="shared" si="2"/>
        <v>#REF!</v>
      </c>
    </row>
    <row r="17" spans="1:20" ht="24.75" customHeight="1">
      <c r="A17" s="228">
        <v>12</v>
      </c>
      <c r="B17" s="394" t="s">
        <v>172</v>
      </c>
      <c r="C17" s="394"/>
      <c r="D17" s="394"/>
      <c r="E17" s="394"/>
      <c r="F17" s="25">
        <v>53</v>
      </c>
      <c r="G17" s="229">
        <v>32</v>
      </c>
      <c r="H17" s="32"/>
      <c r="I17" s="32" t="e">
        <f>'Меню '!#REF!</f>
        <v>#REF!</v>
      </c>
      <c r="J17" s="32"/>
      <c r="K17" s="32"/>
      <c r="L17" s="32" t="e">
        <f>'Меню '!#REF!</f>
        <v>#REF!</v>
      </c>
      <c r="M17" s="32" t="e">
        <f>'Меню '!#REF!</f>
        <v>#REF!</v>
      </c>
      <c r="N17" s="32"/>
      <c r="O17" s="32"/>
      <c r="P17" s="32"/>
      <c r="Q17" s="32" t="e">
        <f>'Меню '!#REF!</f>
        <v>#REF!</v>
      </c>
      <c r="R17" s="25" t="e">
        <f t="shared" si="0"/>
        <v>#REF!</v>
      </c>
      <c r="S17" s="25" t="e">
        <f t="shared" si="1"/>
        <v>#REF!</v>
      </c>
      <c r="T17" s="230" t="e">
        <f t="shared" si="2"/>
        <v>#REF!</v>
      </c>
    </row>
    <row r="18" spans="1:20" ht="15">
      <c r="A18" s="228">
        <v>13</v>
      </c>
      <c r="B18" s="388" t="s">
        <v>173</v>
      </c>
      <c r="C18" s="388"/>
      <c r="D18" s="388"/>
      <c r="E18" s="388"/>
      <c r="F18" s="25">
        <v>77</v>
      </c>
      <c r="G18" s="229">
        <v>40</v>
      </c>
      <c r="H18" s="32" t="e">
        <f>'Меню '!#REF!</f>
        <v>#REF!</v>
      </c>
      <c r="I18" s="32"/>
      <c r="J18" s="32">
        <f>'Меню '!D151</f>
        <v>170</v>
      </c>
      <c r="K18" s="32"/>
      <c r="L18" s="32">
        <f>'Меню '!D254</f>
        <v>86</v>
      </c>
      <c r="M18" s="32"/>
      <c r="N18" s="32"/>
      <c r="O18" s="32" t="e">
        <f>'Меню '!#REF!</f>
        <v>#REF!</v>
      </c>
      <c r="P18" s="32"/>
      <c r="Q18" s="32"/>
      <c r="R18" s="25" t="e">
        <f t="shared" si="0"/>
        <v>#REF!</v>
      </c>
      <c r="S18" s="25" t="e">
        <f t="shared" si="1"/>
        <v>#REF!</v>
      </c>
      <c r="T18" s="230" t="e">
        <f t="shared" si="2"/>
        <v>#REF!</v>
      </c>
    </row>
    <row r="19" spans="1:20" ht="15">
      <c r="A19" s="228">
        <v>14</v>
      </c>
      <c r="B19" s="388" t="s">
        <v>174</v>
      </c>
      <c r="C19" s="388"/>
      <c r="D19" s="388"/>
      <c r="E19" s="388"/>
      <c r="F19" s="25">
        <v>40</v>
      </c>
      <c r="G19" s="229">
        <v>11</v>
      </c>
      <c r="H19" s="32" t="e">
        <f>'Меню '!#REF!</f>
        <v>#REF!</v>
      </c>
      <c r="I19" s="32"/>
      <c r="J19" s="32"/>
      <c r="K19" s="32" t="e">
        <f>'Меню '!#REF!</f>
        <v>#REF!</v>
      </c>
      <c r="L19" s="32"/>
      <c r="M19" s="32"/>
      <c r="N19" s="32"/>
      <c r="O19" s="32"/>
      <c r="P19" s="32"/>
      <c r="Q19" s="32"/>
      <c r="R19" s="25" t="e">
        <f t="shared" si="0"/>
        <v>#REF!</v>
      </c>
      <c r="S19" s="25" t="e">
        <f t="shared" si="1"/>
        <v>#REF!</v>
      </c>
      <c r="T19" s="230" t="e">
        <f t="shared" si="2"/>
        <v>#REF!</v>
      </c>
    </row>
    <row r="20" spans="1:20" ht="25.5" customHeight="1">
      <c r="A20" s="228">
        <v>15</v>
      </c>
      <c r="B20" s="388" t="s">
        <v>175</v>
      </c>
      <c r="C20" s="388"/>
      <c r="D20" s="388"/>
      <c r="E20" s="388"/>
      <c r="F20" s="25">
        <v>350</v>
      </c>
      <c r="G20" s="229">
        <v>210</v>
      </c>
      <c r="H20" s="32">
        <f>'Меню '!D12</f>
        <v>100</v>
      </c>
      <c r="I20" s="32">
        <f>'Меню '!D62+'Меню '!D74</f>
        <v>142</v>
      </c>
      <c r="J20" s="32">
        <f>'Меню '!D128</f>
        <v>130</v>
      </c>
      <c r="K20" s="32" t="e">
        <f>'Меню '!#REF!</f>
        <v>#REF!</v>
      </c>
      <c r="L20" s="32" t="e">
        <f>'Меню '!D232+'Меню '!D240+'Меню '!#REF!</f>
        <v>#REF!</v>
      </c>
      <c r="M20" s="32">
        <f>'Меню '!D278+'Меню '!D290</f>
        <v>142</v>
      </c>
      <c r="N20" s="32">
        <f>'Меню '!D342</f>
        <v>100</v>
      </c>
      <c r="O20" s="32" t="e">
        <f>'Меню '!D400+'Меню '!#REF!</f>
        <v>#REF!</v>
      </c>
      <c r="P20" s="32" t="e">
        <f>'Меню '!D452+'Меню '!D463+'Меню '!#REF!+'Меню '!D503</f>
        <v>#REF!</v>
      </c>
      <c r="Q20" s="32" t="e">
        <f>'Меню '!#REF!+'Меню '!D520+'Меню '!D553</f>
        <v>#REF!</v>
      </c>
      <c r="R20" s="25" t="e">
        <f t="shared" si="0"/>
        <v>#REF!</v>
      </c>
      <c r="S20" s="25" t="e">
        <f t="shared" si="1"/>
        <v>#REF!</v>
      </c>
      <c r="T20" s="230" t="e">
        <f t="shared" si="2"/>
        <v>#REF!</v>
      </c>
    </row>
    <row r="21" spans="1:20" ht="25.5" customHeight="1">
      <c r="A21" s="228">
        <v>16</v>
      </c>
      <c r="B21" s="394" t="s">
        <v>176</v>
      </c>
      <c r="C21" s="394"/>
      <c r="D21" s="394"/>
      <c r="E21" s="394"/>
      <c r="F21" s="25">
        <v>180</v>
      </c>
      <c r="G21" s="229">
        <v>100</v>
      </c>
      <c r="H21" s="32">
        <f>'Меню '!E17</f>
        <v>125</v>
      </c>
      <c r="I21" s="32">
        <f>'Меню '!D70</f>
        <v>125</v>
      </c>
      <c r="J21" s="32">
        <f>'Меню '!E124</f>
        <v>125</v>
      </c>
      <c r="K21" s="32"/>
      <c r="L21" s="32">
        <f>'Меню '!D237</f>
        <v>125</v>
      </c>
      <c r="M21" s="32">
        <f>'Меню '!E286</f>
        <v>125</v>
      </c>
      <c r="N21" s="32">
        <f>'Меню '!E339</f>
        <v>125</v>
      </c>
      <c r="O21" s="32">
        <f>'Меню '!E405</f>
        <v>125</v>
      </c>
      <c r="P21" s="32">
        <f>'Меню '!E460</f>
        <v>125</v>
      </c>
      <c r="Q21" s="32"/>
      <c r="R21" s="25">
        <f t="shared" si="0"/>
        <v>1000</v>
      </c>
      <c r="S21" s="25">
        <f t="shared" si="1"/>
        <v>100</v>
      </c>
      <c r="T21" s="230">
        <f t="shared" si="2"/>
        <v>100</v>
      </c>
    </row>
    <row r="22" spans="1:20" ht="30.75" customHeight="1">
      <c r="A22" s="228">
        <v>17</v>
      </c>
      <c r="B22" s="388" t="s">
        <v>177</v>
      </c>
      <c r="C22" s="388"/>
      <c r="D22" s="388"/>
      <c r="E22" s="388"/>
      <c r="F22" s="25">
        <v>60</v>
      </c>
      <c r="G22" s="229">
        <v>32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25">
        <f t="shared" si="0"/>
        <v>0</v>
      </c>
      <c r="S22" s="25">
        <f t="shared" si="1"/>
        <v>0</v>
      </c>
      <c r="T22" s="230">
        <f t="shared" si="2"/>
        <v>0</v>
      </c>
    </row>
    <row r="23" spans="1:20" ht="15">
      <c r="A23" s="228">
        <v>18</v>
      </c>
      <c r="B23" s="388" t="s">
        <v>178</v>
      </c>
      <c r="C23" s="388"/>
      <c r="D23" s="388"/>
      <c r="E23" s="388"/>
      <c r="F23" s="25">
        <v>15</v>
      </c>
      <c r="G23" s="229">
        <v>14</v>
      </c>
      <c r="H23" s="32"/>
      <c r="I23" s="32" t="e">
        <f>'Меню '!#REF!</f>
        <v>#REF!</v>
      </c>
      <c r="J23" s="32"/>
      <c r="K23" s="32" t="e">
        <f>'Меню '!#REF!+'Меню '!#REF!</f>
        <v>#REF!</v>
      </c>
      <c r="L23" s="32">
        <f>'Меню '!E264</f>
        <v>15</v>
      </c>
      <c r="M23" s="32">
        <f>'Меню '!E275</f>
        <v>20</v>
      </c>
      <c r="N23" s="32">
        <f>'Меню '!E329</f>
        <v>20</v>
      </c>
      <c r="O23" s="32"/>
      <c r="P23" s="32">
        <f>'Меню '!E449</f>
        <v>20</v>
      </c>
      <c r="Q23" s="32" t="e">
        <f>'Меню '!#REF!</f>
        <v>#REF!</v>
      </c>
      <c r="R23" s="25" t="e">
        <f t="shared" si="0"/>
        <v>#REF!</v>
      </c>
      <c r="S23" s="25" t="e">
        <f t="shared" si="1"/>
        <v>#REF!</v>
      </c>
      <c r="T23" s="232" t="e">
        <f t="shared" si="2"/>
        <v>#REF!</v>
      </c>
    </row>
    <row r="24" spans="1:20" ht="15">
      <c r="A24" s="228">
        <v>19</v>
      </c>
      <c r="B24" s="388" t="s">
        <v>179</v>
      </c>
      <c r="C24" s="388"/>
      <c r="D24" s="388"/>
      <c r="E24" s="388"/>
      <c r="F24" s="25">
        <v>10</v>
      </c>
      <c r="G24" s="229">
        <v>5</v>
      </c>
      <c r="H24" s="32" t="e">
        <f>'Меню '!#REF!</f>
        <v>#REF!</v>
      </c>
      <c r="I24" s="32"/>
      <c r="J24" s="32">
        <f>'Меню '!D146</f>
        <v>5</v>
      </c>
      <c r="K24" s="32">
        <f>'Меню '!D196</f>
        <v>5</v>
      </c>
      <c r="L24" s="32"/>
      <c r="M24" s="32">
        <f>'Меню '!E308</f>
        <v>5</v>
      </c>
      <c r="N24" s="32">
        <f>'Меню '!E334</f>
        <v>7.2</v>
      </c>
      <c r="O24" s="32">
        <f>'Меню '!D427</f>
        <v>5</v>
      </c>
      <c r="P24" s="32">
        <f>'Меню '!D487</f>
        <v>6.5</v>
      </c>
      <c r="Q24" s="32">
        <f>'Меню '!D538</f>
        <v>5</v>
      </c>
      <c r="R24" s="25" t="e">
        <f t="shared" si="0"/>
        <v>#REF!</v>
      </c>
      <c r="S24" s="25" t="e">
        <f t="shared" si="1"/>
        <v>#REF!</v>
      </c>
      <c r="T24" s="232" t="e">
        <f t="shared" si="2"/>
        <v>#REF!</v>
      </c>
    </row>
    <row r="25" spans="1:20" ht="15">
      <c r="A25" s="228">
        <v>20</v>
      </c>
      <c r="B25" s="388" t="s">
        <v>180</v>
      </c>
      <c r="C25" s="388"/>
      <c r="D25" s="388"/>
      <c r="E25" s="388"/>
      <c r="F25" s="25">
        <v>35</v>
      </c>
      <c r="G25" s="229">
        <v>19</v>
      </c>
      <c r="H25" s="39" t="e">
        <f>'Меню '!E9+'Меню '!E14+'Меню '!E31+'Меню '!#REF!+'Меню '!E45</f>
        <v>#REF!</v>
      </c>
      <c r="I25" s="32">
        <f>'Меню '!E58+'Меню '!E65+'Меню '!E89</f>
        <v>20</v>
      </c>
      <c r="J25" s="32">
        <f>'Меню '!E114+'Меню '!E121+'Меню '!E158</f>
        <v>23.2</v>
      </c>
      <c r="K25" s="39" t="e">
        <f>'Меню '!#REF!+'Меню '!E195+'Меню '!E215</f>
        <v>#REF!</v>
      </c>
      <c r="L25" s="32" t="e">
        <f>'Меню '!D228+'Меню '!D234+'Меню '!#REF!+'Меню '!E262</f>
        <v>#REF!</v>
      </c>
      <c r="M25" s="32" t="e">
        <f>'Меню '!E281+'Меню '!#REF!</f>
        <v>#REF!</v>
      </c>
      <c r="N25" s="32">
        <f>'Меню '!D336+'Меню '!D379</f>
        <v>10.6</v>
      </c>
      <c r="O25" s="32" t="e">
        <f>'Меню '!E398+'Меню '!E402+'Меню '!#REF!+'Меню '!E436</f>
        <v>#REF!</v>
      </c>
      <c r="P25" s="32">
        <f>'Меню '!E455+'Меню '!E494</f>
        <v>7</v>
      </c>
      <c r="Q25" s="32" t="e">
        <f>'Меню '!#REF!+'Меню '!E537+'Меню '!E554</f>
        <v>#REF!</v>
      </c>
      <c r="R25" s="25" t="e">
        <f t="shared" si="0"/>
        <v>#REF!</v>
      </c>
      <c r="S25" s="25" t="e">
        <f t="shared" si="1"/>
        <v>#REF!</v>
      </c>
      <c r="T25" s="230" t="e">
        <f t="shared" si="2"/>
        <v>#REF!</v>
      </c>
    </row>
    <row r="26" spans="1:20" ht="15">
      <c r="A26" s="228">
        <v>21</v>
      </c>
      <c r="B26" s="388" t="s">
        <v>181</v>
      </c>
      <c r="C26" s="388"/>
      <c r="D26" s="388"/>
      <c r="E26" s="388"/>
      <c r="F26" s="25">
        <v>18</v>
      </c>
      <c r="G26" s="229">
        <v>11</v>
      </c>
      <c r="H26" s="32" t="e">
        <f>'Меню '!#REF!</f>
        <v>#REF!</v>
      </c>
      <c r="I26" s="32">
        <f>'Меню '!E63+'Меню '!E100</f>
        <v>9</v>
      </c>
      <c r="J26" s="32">
        <f>'Меню '!D147+'Меню '!D153</f>
        <v>10</v>
      </c>
      <c r="K26" s="32" t="e">
        <f>'Меню '!#REF!+'Меню '!#REF!</f>
        <v>#REF!</v>
      </c>
      <c r="L26" s="32" t="e">
        <f>'Меню '!#REF!+'Меню '!D253</f>
        <v>#REF!</v>
      </c>
      <c r="M26" s="32">
        <f>'Меню '!E279+'Меню '!E307+'Меню '!E317</f>
        <v>15</v>
      </c>
      <c r="N26" s="32" t="e">
        <f>'Меню '!#REF!+'Меню '!D359+'Меню '!D365+'Меню '!D374</f>
        <v>#REF!</v>
      </c>
      <c r="O26" s="32" t="e">
        <f>'Меню '!E426+'Меню '!#REF!</f>
        <v>#REF!</v>
      </c>
      <c r="P26" s="32" t="e">
        <f>'Меню '!E453+'Меню '!#REF!+'Меню '!E479+'Меню '!#REF!</f>
        <v>#REF!</v>
      </c>
      <c r="Q26" s="32">
        <f>'Меню '!E545+'Меню '!E558</f>
        <v>8.7</v>
      </c>
      <c r="R26" s="25" t="e">
        <f t="shared" si="0"/>
        <v>#REF!</v>
      </c>
      <c r="S26" s="25" t="e">
        <f t="shared" si="1"/>
        <v>#REF!</v>
      </c>
      <c r="T26" s="230" t="e">
        <f t="shared" si="2"/>
        <v>#REF!</v>
      </c>
    </row>
    <row r="27" spans="1:20" ht="15">
      <c r="A27" s="228">
        <v>22</v>
      </c>
      <c r="B27" s="388" t="s">
        <v>182</v>
      </c>
      <c r="C27" s="388"/>
      <c r="D27" s="388"/>
      <c r="E27" s="388"/>
      <c r="F27" s="25">
        <v>40</v>
      </c>
      <c r="G27" s="229">
        <v>36</v>
      </c>
      <c r="H27" s="32"/>
      <c r="I27" s="32">
        <f>'Меню '!E61</f>
        <v>110</v>
      </c>
      <c r="J27" s="32">
        <f>'Меню '!D118</f>
        <v>7.2</v>
      </c>
      <c r="K27" s="32" t="e">
        <f>'Меню '!#REF!</f>
        <v>#REF!</v>
      </c>
      <c r="L27" s="32" t="e">
        <f>'Меню '!#REF!</f>
        <v>#REF!</v>
      </c>
      <c r="M27" s="32">
        <f>'Меню '!D277</f>
        <v>110</v>
      </c>
      <c r="N27" s="32"/>
      <c r="O27" s="32" t="e">
        <f>'Меню '!#REF!</f>
        <v>#REF!</v>
      </c>
      <c r="P27" s="32" t="e">
        <f>'Меню '!D451+'Меню '!#REF!</f>
        <v>#REF!</v>
      </c>
      <c r="Q27" s="32" t="e">
        <f>'Меню '!#REF!</f>
        <v>#REF!</v>
      </c>
      <c r="R27" s="25" t="e">
        <f t="shared" si="0"/>
        <v>#REF!</v>
      </c>
      <c r="S27" s="25" t="e">
        <f t="shared" si="1"/>
        <v>#REF!</v>
      </c>
      <c r="T27" s="230" t="e">
        <f t="shared" si="2"/>
        <v>#REF!</v>
      </c>
    </row>
    <row r="28" spans="1:20" ht="15">
      <c r="A28" s="235">
        <v>23</v>
      </c>
      <c r="B28" s="393" t="s">
        <v>183</v>
      </c>
      <c r="C28" s="393"/>
      <c r="D28" s="393"/>
      <c r="E28" s="393"/>
      <c r="F28" s="236">
        <v>35</v>
      </c>
      <c r="G28" s="229">
        <v>29</v>
      </c>
      <c r="H28" s="32"/>
      <c r="I28" s="32"/>
      <c r="J28" s="32"/>
      <c r="K28" s="32"/>
      <c r="L28" s="32"/>
      <c r="M28" s="32"/>
      <c r="N28" s="32"/>
      <c r="O28" s="32" t="e">
        <f>'Меню '!#REF!</f>
        <v>#REF!</v>
      </c>
      <c r="P28" s="32"/>
      <c r="Q28" s="32"/>
      <c r="R28" s="25" t="e">
        <f t="shared" si="0"/>
        <v>#REF!</v>
      </c>
      <c r="S28" s="25" t="e">
        <f t="shared" si="1"/>
        <v>#REF!</v>
      </c>
      <c r="T28" s="232" t="e">
        <f t="shared" si="2"/>
        <v>#REF!</v>
      </c>
    </row>
    <row r="29" spans="1:20" ht="15">
      <c r="A29" s="228">
        <v>24</v>
      </c>
      <c r="B29" s="388" t="s">
        <v>184</v>
      </c>
      <c r="C29" s="388"/>
      <c r="D29" s="388"/>
      <c r="E29" s="388"/>
      <c r="F29" s="25">
        <v>15</v>
      </c>
      <c r="G29" s="229">
        <v>4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25">
        <f t="shared" si="0"/>
        <v>0</v>
      </c>
      <c r="S29" s="25">
        <f t="shared" si="1"/>
        <v>0</v>
      </c>
      <c r="T29" s="230">
        <f t="shared" si="2"/>
        <v>0</v>
      </c>
    </row>
    <row r="30" spans="1:20" ht="15">
      <c r="A30" s="228">
        <v>25</v>
      </c>
      <c r="B30" s="388" t="s">
        <v>185</v>
      </c>
      <c r="C30" s="388"/>
      <c r="D30" s="388"/>
      <c r="E30" s="388"/>
      <c r="F30" s="25">
        <v>2</v>
      </c>
      <c r="G30" s="229">
        <v>0.33</v>
      </c>
      <c r="H30" s="32">
        <f>'Меню '!D19</f>
        <v>1</v>
      </c>
      <c r="I30" s="32"/>
      <c r="J30" s="32"/>
      <c r="K30" s="32">
        <f>'Меню '!D179</f>
        <v>1</v>
      </c>
      <c r="L30" s="32"/>
      <c r="M30" s="237"/>
      <c r="N30" s="32"/>
      <c r="O30" s="32">
        <f>'Меню '!E407</f>
        <v>1</v>
      </c>
      <c r="P30" s="32"/>
      <c r="Q30" s="32" t="e">
        <f>'Меню '!#REF!</f>
        <v>#REF!</v>
      </c>
      <c r="R30" s="25" t="e">
        <f t="shared" si="0"/>
        <v>#REF!</v>
      </c>
      <c r="S30" s="25" t="e">
        <f t="shared" si="1"/>
        <v>#REF!</v>
      </c>
      <c r="T30" s="230" t="e">
        <f t="shared" si="2"/>
        <v>#REF!</v>
      </c>
    </row>
    <row r="31" spans="1:20" ht="15">
      <c r="A31" s="228">
        <v>26</v>
      </c>
      <c r="B31" s="388" t="s">
        <v>186</v>
      </c>
      <c r="C31" s="388"/>
      <c r="D31" s="388"/>
      <c r="E31" s="388"/>
      <c r="F31" s="25">
        <v>1.2</v>
      </c>
      <c r="G31" s="229">
        <v>2</v>
      </c>
      <c r="H31" s="32"/>
      <c r="I31" s="32">
        <f>'Меню '!E72</f>
        <v>5</v>
      </c>
      <c r="J31" s="32"/>
      <c r="K31" s="32"/>
      <c r="L31" s="32"/>
      <c r="M31" s="32">
        <f>'Меню '!D288</f>
        <v>5</v>
      </c>
      <c r="N31" s="32"/>
      <c r="O31" s="32"/>
      <c r="P31" s="32">
        <f>'Меню '!D501</f>
        <v>5</v>
      </c>
      <c r="Q31" s="32"/>
      <c r="R31" s="25">
        <f t="shared" si="0"/>
        <v>15</v>
      </c>
      <c r="S31" s="25">
        <f t="shared" si="1"/>
        <v>1.5</v>
      </c>
      <c r="T31" s="230">
        <f t="shared" si="2"/>
        <v>75</v>
      </c>
    </row>
    <row r="32" spans="1:20" ht="15">
      <c r="A32" s="228">
        <v>27</v>
      </c>
      <c r="B32" s="390" t="s">
        <v>187</v>
      </c>
      <c r="C32" s="391"/>
      <c r="D32" s="391"/>
      <c r="E32" s="392"/>
      <c r="F32" s="25">
        <v>2</v>
      </c>
      <c r="G32" s="229">
        <v>2</v>
      </c>
      <c r="H32" s="32"/>
      <c r="I32" s="32"/>
      <c r="J32" s="32">
        <f>'Меню '!D126</f>
        <v>4</v>
      </c>
      <c r="K32" s="32"/>
      <c r="L32" s="32">
        <f>'Меню '!D239</f>
        <v>4</v>
      </c>
      <c r="M32" s="32"/>
      <c r="N32" s="32">
        <f>'Меню '!D341</f>
        <v>4</v>
      </c>
      <c r="O32" s="32"/>
      <c r="P32" s="32">
        <f>'Меню '!D462</f>
        <v>4</v>
      </c>
      <c r="Q32" s="32">
        <f>'Меню '!D519</f>
        <v>4</v>
      </c>
      <c r="R32" s="25">
        <f t="shared" si="0"/>
        <v>20</v>
      </c>
      <c r="S32" s="25">
        <f t="shared" si="1"/>
        <v>2</v>
      </c>
      <c r="T32" s="230">
        <f t="shared" si="2"/>
        <v>100</v>
      </c>
    </row>
    <row r="33" spans="1:20" ht="15">
      <c r="A33" s="228">
        <v>28</v>
      </c>
      <c r="B33" s="390" t="s">
        <v>188</v>
      </c>
      <c r="C33" s="391"/>
      <c r="D33" s="391"/>
      <c r="E33" s="392"/>
      <c r="F33" s="25">
        <v>4</v>
      </c>
      <c r="G33" s="229">
        <v>2.4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25">
        <f t="shared" si="0"/>
        <v>0</v>
      </c>
      <c r="S33" s="25">
        <f t="shared" si="1"/>
        <v>0</v>
      </c>
      <c r="T33" s="230">
        <f t="shared" si="2"/>
        <v>0</v>
      </c>
    </row>
    <row r="34" spans="1:20" ht="15">
      <c r="A34" s="228">
        <v>29</v>
      </c>
      <c r="B34" s="390" t="s">
        <v>189</v>
      </c>
      <c r="C34" s="391"/>
      <c r="D34" s="391"/>
      <c r="E34" s="392"/>
      <c r="F34" s="25">
        <v>2</v>
      </c>
      <c r="G34" s="229">
        <v>1.2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25">
        <f t="shared" si="0"/>
        <v>0</v>
      </c>
      <c r="S34" s="25">
        <f t="shared" si="1"/>
        <v>0</v>
      </c>
      <c r="T34" s="230">
        <f t="shared" si="2"/>
        <v>0</v>
      </c>
    </row>
    <row r="35" spans="1:20" ht="15">
      <c r="A35" s="228">
        <v>30</v>
      </c>
      <c r="B35" s="388" t="s">
        <v>190</v>
      </c>
      <c r="C35" s="388"/>
      <c r="D35" s="388"/>
      <c r="E35" s="388"/>
      <c r="F35" s="25">
        <v>0.3</v>
      </c>
      <c r="G35" s="229">
        <v>0.2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25">
        <f t="shared" si="0"/>
        <v>0</v>
      </c>
      <c r="S35" s="25">
        <f t="shared" si="1"/>
        <v>0</v>
      </c>
      <c r="T35" s="238">
        <f t="shared" si="2"/>
        <v>0</v>
      </c>
    </row>
    <row r="36" spans="1:20" ht="15.75" thickBot="1">
      <c r="A36" s="239">
        <v>31</v>
      </c>
      <c r="B36" s="389" t="s">
        <v>191</v>
      </c>
      <c r="C36" s="389"/>
      <c r="D36" s="389"/>
      <c r="E36" s="389"/>
      <c r="F36" s="240">
        <v>5</v>
      </c>
      <c r="G36" s="241">
        <v>3</v>
      </c>
      <c r="H36" s="242" t="e">
        <f>'Меню '!E15+'Меню '!#REF!+'Меню '!E34+'Меню '!#REF!+'Меню '!E46</f>
        <v>#REF!</v>
      </c>
      <c r="I36" s="242">
        <f>'Меню '!E66+'Меню '!E92+'Меню '!E101</f>
        <v>2.6</v>
      </c>
      <c r="J36" s="242">
        <f>'Меню '!D149+'Меню '!D154+'Меню '!D159</f>
        <v>2.5</v>
      </c>
      <c r="K36" s="242" t="e">
        <f>'Меню '!#REF!+'Меню '!#REF!+'Меню '!E198+'Меню '!#REF!+'Меню '!#REF!+'Меню '!E216</f>
        <v>#REF!</v>
      </c>
      <c r="L36" s="242" t="e">
        <f>'Меню '!D235+'Меню '!D255+'Меню '!#REF!+'Меню '!D263</f>
        <v>#REF!</v>
      </c>
      <c r="M36" s="242" t="e">
        <f>'Меню '!D282+'Меню '!#REF!+'Меню '!D310+'Меню '!D318</f>
        <v>#REF!</v>
      </c>
      <c r="N36" s="242" t="e">
        <f>'Меню '!#REF!+'Меню '!D361+'Меню '!D367+'Меню '!D377</f>
        <v>#REF!</v>
      </c>
      <c r="O36" s="242" t="e">
        <f>'Меню '!E403+'Меню '!E429+'Меню '!#REF!+'Меню '!E437</f>
        <v>#REF!</v>
      </c>
      <c r="P36" s="242" t="e">
        <f>'Меню '!E456+'Меню '!#REF!+'Меню '!#REF!+'Меню '!#REF!+'Меню '!E491+'Меню '!E499</f>
        <v>#REF!</v>
      </c>
      <c r="Q36" s="242" t="e">
        <f>'Меню '!#REF!+'Меню '!D540+'Меню '!D546+'Меню '!D555+'Меню '!D565</f>
        <v>#REF!</v>
      </c>
      <c r="R36" s="240" t="e">
        <f t="shared" si="0"/>
        <v>#REF!</v>
      </c>
      <c r="S36" s="240" t="e">
        <f t="shared" si="1"/>
        <v>#REF!</v>
      </c>
      <c r="T36" s="238">
        <v>105</v>
      </c>
    </row>
    <row r="37" spans="3:19" ht="15">
      <c r="C37" s="386" t="s">
        <v>243</v>
      </c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</row>
    <row r="38" spans="3:19" ht="15"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</row>
    <row r="39" ht="15">
      <c r="O39" s="8"/>
    </row>
  </sheetData>
  <sheetProtection/>
  <mergeCells count="39">
    <mergeCell ref="A1:Q2"/>
    <mergeCell ref="B3:E3"/>
    <mergeCell ref="F3:G3"/>
    <mergeCell ref="H3:T3"/>
    <mergeCell ref="B4:E4"/>
    <mergeCell ref="H4:T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37:S38"/>
    <mergeCell ref="B35:E35"/>
    <mergeCell ref="B36:E36"/>
    <mergeCell ref="B29:E29"/>
    <mergeCell ref="B30:E30"/>
    <mergeCell ref="B31:E31"/>
    <mergeCell ref="B32:E32"/>
    <mergeCell ref="B33:E33"/>
    <mergeCell ref="B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2021-03-16T03:10:17Z</cp:lastPrinted>
  <dcterms:created xsi:type="dcterms:W3CDTF">2006-09-28T05:33:49Z</dcterms:created>
  <dcterms:modified xsi:type="dcterms:W3CDTF">2021-08-30T08:11:24Z</dcterms:modified>
  <cp:category/>
  <cp:version/>
  <cp:contentType/>
  <cp:contentStatus/>
</cp:coreProperties>
</file>